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pivotCache/pivotCacheDefinition2.xml" ContentType="application/vnd.openxmlformats-officedocument.spreadsheetml.pivotCacheDefinition+xml"/>
  <Override PartName="/xl/pivotCache/pivotCacheRecords2.xml" ContentType="application/vnd.openxmlformats-officedocument.spreadsheetml.pivotCacheRecords+xml"/>
  <Override PartName="/xl/pivotCache/pivotCacheDefinition3.xml" ContentType="application/vnd.openxmlformats-officedocument.spreadsheetml.pivotCacheDefinition+xml"/>
  <Override PartName="/xl/pivotCache/pivotCacheRecords3.xml" ContentType="application/vnd.openxmlformats-officedocument.spreadsheetml.pivotCacheRecords+xml"/>
  <Override PartName="/xl/pivotCache/pivotCacheDefinition4.xml" ContentType="application/vnd.openxmlformats-officedocument.spreadsheetml.pivotCacheDefinition+xml"/>
  <Override PartName="/xl/pivotCache/pivotCacheRecords4.xml" ContentType="application/vnd.openxmlformats-officedocument.spreadsheetml.pivotCacheRecords+xml"/>
  <Override PartName="/xl/pivotCache/pivotCacheDefinition5.xml" ContentType="application/vnd.openxmlformats-officedocument.spreadsheetml.pivotCacheDefinition+xml"/>
  <Override PartName="/xl/pivotCache/pivotCacheRecords5.xml" ContentType="application/vnd.openxmlformats-officedocument.spreadsheetml.pivotCacheRecords+xml"/>
  <Override PartName="/xl/pivotCache/pivotCacheDefinition6.xml" ContentType="application/vnd.openxmlformats-officedocument.spreadsheetml.pivotCacheDefinition+xml"/>
  <Override PartName="/xl/pivotCache/pivotCacheRecords6.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comments2.xml" ContentType="application/vnd.openxmlformats-officedocument.spreadsheetml.comments+xml"/>
  <Override PartName="/xl/pivotTables/pivotTable1.xml" ContentType="application/vnd.openxmlformats-officedocument.spreadsheetml.pivotTable+xml"/>
  <Override PartName="/xl/comments3.xml" ContentType="application/vnd.openxmlformats-officedocument.spreadsheetml.comments+xml"/>
  <Override PartName="/xl/pivotTables/pivotTable2.xml" ContentType="application/vnd.openxmlformats-officedocument.spreadsheetml.pivotTable+xml"/>
  <Override PartName="/xl/pivotTables/pivotTable3.xml" ContentType="application/vnd.openxmlformats-officedocument.spreadsheetml.pivotTable+xml"/>
  <Override PartName="/xl/pivotTables/pivotTable4.xml" ContentType="application/vnd.openxmlformats-officedocument.spreadsheetml.pivotTable+xml"/>
  <Override PartName="/xl/comments4.xml" ContentType="application/vnd.openxmlformats-officedocument.spreadsheetml.comments+xml"/>
  <Override PartName="/xl/pivotTables/pivotTable5.xml" ContentType="application/vnd.openxmlformats-officedocument.spreadsheetml.pivotTable+xml"/>
  <Override PartName="/xl/pivotTables/pivotTable6.xml" ContentType="application/vnd.openxmlformats-officedocument.spreadsheetml.pivotTable+xml"/>
  <Override PartName="/xl/drawings/drawing1.xml" ContentType="application/vnd.openxmlformats-officedocument.drawing+xml"/>
  <Override PartName="/xl/ctrlProps/ctrlProp1.xml" ContentType="application/vnd.ms-excel.controlproperties+xml"/>
  <Override PartName="/xl/comments5.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726"/>
  <workbookPr codeName="ThisWorkbook" hidePivotFieldList="1" defaultThemeVersion="124226"/>
  <mc:AlternateContent xmlns:mc="http://schemas.openxmlformats.org/markup-compatibility/2006">
    <mc:Choice Requires="x15">
      <x15ac:absPath xmlns:x15ac="http://schemas.microsoft.com/office/spreadsheetml/2010/11/ac" url="G:\SHEETS\PA F 2023\Class Book and Rate Test\"/>
    </mc:Choice>
  </mc:AlternateContent>
  <xr:revisionPtr revIDLastSave="0" documentId="13_ncr:1_{226B5FAD-DD2F-4E23-97D1-3B4AC92E0E9D}" xr6:coauthVersionLast="47" xr6:coauthVersionMax="47" xr10:uidLastSave="{00000000-0000-0000-0000-000000000000}"/>
  <workbookProtection workbookAlgorithmName="SHA-512" workbookHashValue="OzjTymVJWIe0gmnMb6vcTd1/IDOT7z+RCr2gr6T+a1/mD3im9wwaKEhSerSfKglqhmiLuCt4rUPSXQnyBeyvwA==" workbookSaltValue="GE/4QR04X4sFDNd6ayLaQQ==" workbookSpinCount="100000" lockStructure="1"/>
  <bookViews>
    <workbookView xWindow="28680" yWindow="-120" windowWidth="29040" windowHeight="15840" tabRatio="914" firstSheet="25" activeTab="25" xr2:uid="{00000000-000D-0000-FFFF-FFFF00000000}"/>
  </bookViews>
  <sheets>
    <sheet name="Credibility-1" sheetId="79" state="hidden" r:id="rId1"/>
    <sheet name="D08" sheetId="81" state="hidden" r:id="rId2"/>
    <sheet name="PAYROLL" sheetId="82" state="hidden" r:id="rId3"/>
    <sheet name="Data_Payroll" sheetId="67" state="hidden" r:id="rId4"/>
    <sheet name="Data_Loss" sheetId="68" state="hidden" r:id="rId5"/>
    <sheet name="Previous year's Pre Surcharge " sheetId="65" state="hidden" r:id="rId6"/>
    <sheet name="PYV(Pre-Surcharge)" sheetId="28" state="hidden" r:id="rId7"/>
    <sheet name="Indemnity" sheetId="87" state="hidden" r:id="rId8"/>
    <sheet name="Medical" sheetId="88" state="hidden" r:id="rId9"/>
    <sheet name="10k &amp; MO" sheetId="36" state="hidden" r:id="rId10"/>
    <sheet name="Limited Losses Non-Cat" sheetId="7" state="hidden" r:id="rId11"/>
    <sheet name="Limited Losses CAT" sheetId="8" state="hidden" r:id="rId12"/>
    <sheet name="Limited Losses Combined" sheetId="69" state="hidden" r:id="rId13"/>
    <sheet name="Limited Loss" sheetId="37" state="hidden" r:id="rId14"/>
    <sheet name="CB Item 1" sheetId="18" state="hidden" r:id="rId15"/>
    <sheet name="Credibility" sheetId="38" state="hidden" r:id="rId16"/>
    <sheet name="Translated Loss" sheetId="35" state="hidden" r:id="rId17"/>
    <sheet name="UPP" sheetId="31" state="hidden" r:id="rId18"/>
    <sheet name="IBNR+Freq" sheetId="33" state="hidden" r:id="rId19"/>
    <sheet name="CB Item 2" sheetId="23" state="hidden" r:id="rId20"/>
    <sheet name="Exp Loss Report" sheetId="14" state="hidden" r:id="rId21"/>
    <sheet name="POST-TEST Factor" sheetId="42" state="hidden" r:id="rId22"/>
    <sheet name="Exp Loss Report_PAYROLL" sheetId="13" state="hidden" r:id="rId23"/>
    <sheet name="Pure Prem Test" sheetId="9" state="hidden" r:id="rId24"/>
    <sheet name="CB Item 3" sheetId="26" state="hidden" r:id="rId25"/>
    <sheet name="CB Template" sheetId="70" r:id="rId26"/>
    <sheet name="Class and Exp Cons" sheetId="50" state="hidden" r:id="rId27"/>
  </sheets>
  <definedNames>
    <definedName name="_Fill" hidden="1">#REF!</definedName>
    <definedName name="_xlnm._FilterDatabase" localSheetId="26" hidden="1">'Class and Exp Cons'!$B$3:$F$16</definedName>
    <definedName name="_xlnm._FilterDatabase" localSheetId="4" hidden="1">Data_Loss!$A$1:$V$10</definedName>
    <definedName name="_xlnm._FilterDatabase" localSheetId="3" hidden="1">Data_Payroll!$A$1:$I$44</definedName>
    <definedName name="_xlnm._FilterDatabase" localSheetId="20" hidden="1">'Exp Loss Report'!$A$6:$X$17</definedName>
    <definedName name="_xlnm._FilterDatabase" localSheetId="10" hidden="1">'Limited Losses Non-Cat'!$A$1:$Q$1</definedName>
    <definedName name="_xlnm._FilterDatabase" localSheetId="5" hidden="1">'Previous year''s Pre Surcharge '!$A$6:$J$20</definedName>
    <definedName name="_xlnm._FilterDatabase" localSheetId="23" hidden="1">'Pure Prem Test'!$A$7:$N$18</definedName>
    <definedName name="_xlnm._FilterDatabase" localSheetId="6" hidden="1">'PYV(Pre-Surcharge)'!$H$8:$N$18</definedName>
    <definedName name="_UPP1">#REF!</definedName>
    <definedName name="_UPP2">#REF!</definedName>
    <definedName name="_UPP3">#REF!</definedName>
    <definedName name="MPAY">#REF!</definedName>
    <definedName name="NPAY">#REF!</definedName>
    <definedName name="_xlnm.Print_Area" localSheetId="25">'CB Template'!$C$3:$O$60</definedName>
    <definedName name="_xlnm.Print_Area" localSheetId="15">Credibility!$A$2:$D$116</definedName>
    <definedName name="_xlnm.Print_Area" localSheetId="0">'Credibility-1'!$A$4:$D$112,'Credibility-1'!$G$4:$J$112</definedName>
    <definedName name="_xlnm.Print_Area" localSheetId="1">'D08'!$A$6:$H$44,'D08'!$Z$7:$AE$40,'D08'!$AI$6:$AQ$42,'D08'!$AU$6:$BB$42,'D08'!$BG$8:$BM$28,'D08'!$BS$5:$CA$29,'D08'!$CE$7:$CL$30,'D08'!$CP$7:$DB$36,'D08'!$DE$7:$DM$36,'D08'!$DP$4:$DZ$57,'D08'!$EE$3:$EK$24</definedName>
    <definedName name="_xlnm.Print_Area" localSheetId="2">PAYROLL!$H$6:$K$52</definedName>
    <definedName name="_xlnm.Print_Area">#REF!</definedName>
    <definedName name="PRINT_AREA_MI">#REF!</definedName>
    <definedName name="_xlnm.Print_Titles" localSheetId="0">'Credibility-1'!$4:$11</definedName>
    <definedName name="SPAY">#REF!</definedName>
  </definedNames>
  <calcPr calcId="191029"/>
  <pivotCaches>
    <pivotCache cacheId="8" r:id="rId28"/>
    <pivotCache cacheId="9" r:id="rId29"/>
    <pivotCache cacheId="10" r:id="rId30"/>
    <pivotCache cacheId="11" r:id="rId31"/>
    <pivotCache cacheId="12" r:id="rId32"/>
    <pivotCache cacheId="13" r:id="rId33"/>
  </pivotCache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DZ12" i="81" l="1"/>
  <c r="L9" i="9"/>
  <c r="D17" i="13"/>
  <c r="D18" i="9" a="1"/>
  <c r="D18" i="9" s="1"/>
  <c r="A38" i="35" l="1"/>
  <c r="Q38" i="35" s="1"/>
  <c r="B38" i="35"/>
  <c r="C38" i="35"/>
  <c r="AF38" i="35"/>
  <c r="AG38" i="35" s="1"/>
  <c r="AN38" i="35"/>
  <c r="AR38" i="35"/>
  <c r="AS38" i="35"/>
  <c r="B39" i="35"/>
  <c r="C39" i="35"/>
  <c r="A39" i="35" s="1"/>
  <c r="AR39" i="35"/>
  <c r="AS39" i="35"/>
  <c r="B40" i="35"/>
  <c r="AR40" i="35" s="1"/>
  <c r="C40" i="35"/>
  <c r="AS40" i="35" s="1"/>
  <c r="B13" i="35"/>
  <c r="B21" i="35"/>
  <c r="B29" i="35"/>
  <c r="B37" i="35"/>
  <c r="A9" i="68"/>
  <c r="A17" i="68"/>
  <c r="A25" i="68"/>
  <c r="A33" i="68"/>
  <c r="X5" i="68"/>
  <c r="B8" i="35" s="1"/>
  <c r="X6" i="68"/>
  <c r="B9" i="35" s="1"/>
  <c r="X7" i="68"/>
  <c r="B10" i="35" s="1"/>
  <c r="X8" i="68"/>
  <c r="B11" i="35" s="1"/>
  <c r="X9" i="68"/>
  <c r="B12" i="35" s="1"/>
  <c r="X10" i="68"/>
  <c r="A10" i="68" s="1"/>
  <c r="X11" i="68"/>
  <c r="B14" i="35" s="1"/>
  <c r="X12" i="68"/>
  <c r="B15" i="35" s="1"/>
  <c r="X13" i="68"/>
  <c r="B16" i="35" s="1"/>
  <c r="X14" i="68"/>
  <c r="B17" i="35" s="1"/>
  <c r="X15" i="68"/>
  <c r="B18" i="35" s="1"/>
  <c r="X16" i="68"/>
  <c r="B19" i="35" s="1"/>
  <c r="X17" i="68"/>
  <c r="B20" i="35" s="1"/>
  <c r="X18" i="68"/>
  <c r="A18" i="68" s="1"/>
  <c r="X19" i="68"/>
  <c r="B22" i="35" s="1"/>
  <c r="X20" i="68"/>
  <c r="B23" i="35" s="1"/>
  <c r="X21" i="68"/>
  <c r="B24" i="35" s="1"/>
  <c r="X22" i="68"/>
  <c r="B25" i="35" s="1"/>
  <c r="X23" i="68"/>
  <c r="B26" i="35" s="1"/>
  <c r="X24" i="68"/>
  <c r="B27" i="35" s="1"/>
  <c r="X25" i="68"/>
  <c r="B28" i="35" s="1"/>
  <c r="X26" i="68"/>
  <c r="A26" i="68" s="1"/>
  <c r="X27" i="68"/>
  <c r="B30" i="35" s="1"/>
  <c r="X28" i="68"/>
  <c r="B31" i="35" s="1"/>
  <c r="X29" i="68"/>
  <c r="B32" i="35" s="1"/>
  <c r="X30" i="68"/>
  <c r="B33" i="35" s="1"/>
  <c r="X31" i="68"/>
  <c r="B34" i="35" s="1"/>
  <c r="X32" i="68"/>
  <c r="B35" i="35" s="1"/>
  <c r="X33" i="68"/>
  <c r="B36" i="35" s="1"/>
  <c r="X34" i="68"/>
  <c r="A34" i="68" s="1"/>
  <c r="X35" i="68"/>
  <c r="A35" i="68" s="1"/>
  <c r="X36" i="68"/>
  <c r="A36" i="68" s="1"/>
  <c r="X37" i="68"/>
  <c r="A37" i="68" s="1"/>
  <c r="X4" i="68"/>
  <c r="B7" i="35" s="1"/>
  <c r="X3" i="68"/>
  <c r="B6" i="35" s="1"/>
  <c r="X2" i="68"/>
  <c r="B5" i="35" s="1"/>
  <c r="N39" i="35" l="1"/>
  <c r="G39" i="35"/>
  <c r="O39" i="35"/>
  <c r="H39" i="35"/>
  <c r="P39" i="35"/>
  <c r="S39" i="35"/>
  <c r="AD39" i="35" s="1"/>
  <c r="BD39" i="35" s="1"/>
  <c r="BG39" i="35" s="1"/>
  <c r="I39" i="35"/>
  <c r="Q39" i="35"/>
  <c r="K39" i="35"/>
  <c r="F39" i="35"/>
  <c r="J39" i="35"/>
  <c r="R39" i="35"/>
  <c r="D39" i="35"/>
  <c r="L39" i="35"/>
  <c r="E39" i="35"/>
  <c r="M39" i="35"/>
  <c r="AM38" i="35"/>
  <c r="P38" i="35"/>
  <c r="H38" i="35"/>
  <c r="AF40" i="35"/>
  <c r="A40" i="35"/>
  <c r="AL38" i="35"/>
  <c r="O38" i="35"/>
  <c r="G38" i="35"/>
  <c r="AJ38" i="35"/>
  <c r="M38" i="35"/>
  <c r="E38" i="35"/>
  <c r="I38" i="35"/>
  <c r="N38" i="35"/>
  <c r="AF39" i="35"/>
  <c r="AI38" i="35"/>
  <c r="L38" i="35"/>
  <c r="D38" i="35"/>
  <c r="AK38" i="35"/>
  <c r="F38" i="35"/>
  <c r="AP38" i="35"/>
  <c r="AH38" i="35"/>
  <c r="S38" i="35"/>
  <c r="AD38" i="35" s="1"/>
  <c r="BD38" i="35" s="1"/>
  <c r="BG38" i="35" s="1"/>
  <c r="K38" i="35"/>
  <c r="AO38" i="35"/>
  <c r="R38" i="35"/>
  <c r="J38" i="35"/>
  <c r="A32" i="68"/>
  <c r="A24" i="68"/>
  <c r="A16" i="68"/>
  <c r="A8" i="68"/>
  <c r="A31" i="68"/>
  <c r="A23" i="68"/>
  <c r="A15" i="68"/>
  <c r="A7" i="68"/>
  <c r="A2" i="68"/>
  <c r="A30" i="68"/>
  <c r="A22" i="68"/>
  <c r="A14" i="68"/>
  <c r="A6" i="68"/>
  <c r="A29" i="68"/>
  <c r="A21" i="68"/>
  <c r="A13" i="68"/>
  <c r="A5" i="68"/>
  <c r="A28" i="68"/>
  <c r="A20" i="68"/>
  <c r="A12" i="68"/>
  <c r="A4" i="68"/>
  <c r="A27" i="68"/>
  <c r="A19" i="68"/>
  <c r="A11" i="68"/>
  <c r="A3" i="68"/>
  <c r="AA38" i="35" l="1" a="1"/>
  <c r="AA38" i="35" s="1"/>
  <c r="BA38" i="35" s="1"/>
  <c r="AB38" i="35" a="1"/>
  <c r="AB38" i="35" s="1"/>
  <c r="BB38" i="35" s="1"/>
  <c r="Y38" i="35" a="1"/>
  <c r="Y38" i="35" s="1"/>
  <c r="AY38" i="35" s="1"/>
  <c r="AC38" i="35" a="1"/>
  <c r="AC38" i="35" s="1"/>
  <c r="BC38" i="35" s="1"/>
  <c r="Z38" i="35" a="1"/>
  <c r="Z38" i="35" s="1"/>
  <c r="AZ38" i="35" s="1"/>
  <c r="V39" i="35" a="1"/>
  <c r="V39" i="35" s="1"/>
  <c r="AV39" i="35" s="1"/>
  <c r="U39" i="35" a="1"/>
  <c r="U39" i="35" s="1"/>
  <c r="W39" i="35" a="1"/>
  <c r="W39" i="35" s="1"/>
  <c r="AW39" i="35" s="1"/>
  <c r="T39" i="35" a="1"/>
  <c r="T39" i="35" s="1"/>
  <c r="X39" i="35" a="1"/>
  <c r="X39" i="35" s="1"/>
  <c r="AX39" i="35" s="1"/>
  <c r="D40" i="35"/>
  <c r="L40" i="35"/>
  <c r="E40" i="35"/>
  <c r="M40" i="35"/>
  <c r="H40" i="35"/>
  <c r="F40" i="35"/>
  <c r="N40" i="35"/>
  <c r="P40" i="35"/>
  <c r="J40" i="35"/>
  <c r="G40" i="35"/>
  <c r="O40" i="35"/>
  <c r="R40" i="35"/>
  <c r="K40" i="35"/>
  <c r="S40" i="35"/>
  <c r="AD40" i="35" s="1"/>
  <c r="BD40" i="35" s="1"/>
  <c r="BG40" i="35" s="1"/>
  <c r="I40" i="35"/>
  <c r="Q40" i="35"/>
  <c r="AH40" i="35"/>
  <c r="AI40" i="35"/>
  <c r="AJ40" i="35"/>
  <c r="AM40" i="35"/>
  <c r="AK40" i="35"/>
  <c r="AP40" i="35"/>
  <c r="AL40" i="35"/>
  <c r="AO40" i="35"/>
  <c r="AN40" i="35"/>
  <c r="AG40" i="35"/>
  <c r="W38" i="35" a="1"/>
  <c r="W38" i="35" s="1"/>
  <c r="AW38" i="35" s="1"/>
  <c r="BF38" i="35" s="1"/>
  <c r="T38" i="35" a="1"/>
  <c r="T38" i="35" s="1"/>
  <c r="AT38" i="35" s="1"/>
  <c r="BE38" i="35" s="1"/>
  <c r="X38" i="35" a="1"/>
  <c r="X38" i="35" s="1"/>
  <c r="AX38" i="35" s="1"/>
  <c r="U38" i="35" a="1"/>
  <c r="U38" i="35" s="1"/>
  <c r="AU38" i="35" s="1"/>
  <c r="V38" i="35" a="1"/>
  <c r="V38" i="35" s="1"/>
  <c r="AV38" i="35" s="1"/>
  <c r="AL39" i="35"/>
  <c r="AM39" i="35"/>
  <c r="AH39" i="35"/>
  <c r="AN39" i="35"/>
  <c r="AP39" i="35"/>
  <c r="AK39" i="35"/>
  <c r="AG39" i="35"/>
  <c r="AO39" i="35"/>
  <c r="AI39" i="35"/>
  <c r="AJ39" i="35"/>
  <c r="Y39" i="35" a="1"/>
  <c r="Y39" i="35" s="1"/>
  <c r="AY39" i="35" s="1"/>
  <c r="Z39" i="35" a="1"/>
  <c r="Z39" i="35" s="1"/>
  <c r="AZ39" i="35" s="1"/>
  <c r="AC39" i="35" a="1"/>
  <c r="AC39" i="35" s="1"/>
  <c r="BC39" i="35" s="1"/>
  <c r="AA39" i="35" a="1"/>
  <c r="AA39" i="35" s="1"/>
  <c r="BA39" i="35" s="1"/>
  <c r="AB39" i="35" a="1"/>
  <c r="AB39" i="35" s="1"/>
  <c r="BB39" i="35" s="1"/>
  <c r="BF39" i="35" l="1"/>
  <c r="AU39" i="35"/>
  <c r="T40" i="35" a="1"/>
  <c r="T40" i="35" s="1"/>
  <c r="AT40" i="35" s="1"/>
  <c r="X40" i="35" a="1"/>
  <c r="X40" i="35" s="1"/>
  <c r="AX40" i="35" s="1"/>
  <c r="V40" i="35" a="1"/>
  <c r="V40" i="35" s="1"/>
  <c r="AV40" i="35" s="1"/>
  <c r="U40" i="35" a="1"/>
  <c r="U40" i="35" s="1"/>
  <c r="AU40" i="35" s="1"/>
  <c r="W40" i="35" a="1"/>
  <c r="W40" i="35" s="1"/>
  <c r="AW40" i="35" s="1"/>
  <c r="BF40" i="35" s="1"/>
  <c r="AT39" i="35"/>
  <c r="BE39" i="35" s="1"/>
  <c r="AB40" i="35" a="1"/>
  <c r="AB40" i="35" s="1"/>
  <c r="BB40" i="35" s="1"/>
  <c r="Y40" i="35" a="1"/>
  <c r="Y40" i="35" s="1"/>
  <c r="AY40" i="35" s="1"/>
  <c r="AC40" i="35" a="1"/>
  <c r="AC40" i="35" s="1"/>
  <c r="BC40" i="35" s="1"/>
  <c r="AA40" i="35" a="1"/>
  <c r="AA40" i="35" s="1"/>
  <c r="BA40" i="35" s="1"/>
  <c r="Z40" i="35" a="1"/>
  <c r="Z40" i="35" s="1"/>
  <c r="AZ40" i="35" s="1"/>
  <c r="BE40" i="35" l="1"/>
  <c r="AB37" i="81" l="1"/>
  <c r="AB35" i="81"/>
  <c r="AB33" i="81"/>
  <c r="AB31" i="81"/>
  <c r="AB29" i="81"/>
  <c r="AB27" i="81"/>
  <c r="AB25" i="81"/>
  <c r="B31" i="82" l="1"/>
  <c r="BJ28" i="81" l="1"/>
  <c r="BJ26" i="81"/>
  <c r="BJ24" i="81"/>
  <c r="BJ22" i="81"/>
  <c r="BJ20" i="81"/>
  <c r="C35" i="35"/>
  <c r="AS35" i="35" s="1"/>
  <c r="C36" i="35"/>
  <c r="AS36" i="35" s="1"/>
  <c r="AR37" i="35"/>
  <c r="C37" i="35"/>
  <c r="AS37" i="35" s="1"/>
  <c r="C22" i="35"/>
  <c r="AS22" i="35" s="1"/>
  <c r="C23" i="35"/>
  <c r="AS23" i="35" s="1"/>
  <c r="AR24" i="35"/>
  <c r="C24" i="35"/>
  <c r="AS24" i="35" s="1"/>
  <c r="AR25" i="35"/>
  <c r="C25" i="35"/>
  <c r="AS25" i="35" s="1"/>
  <c r="C26" i="35"/>
  <c r="AS26" i="35" s="1"/>
  <c r="AR27" i="35"/>
  <c r="C27" i="35"/>
  <c r="AS27" i="35" s="1"/>
  <c r="AR28" i="35"/>
  <c r="C28" i="35"/>
  <c r="AS28" i="35" s="1"/>
  <c r="AR29" i="35"/>
  <c r="C29" i="35"/>
  <c r="C30" i="35"/>
  <c r="AS30" i="35" s="1"/>
  <c r="AR31" i="35"/>
  <c r="C31" i="35"/>
  <c r="C32" i="35"/>
  <c r="AS32" i="35" s="1"/>
  <c r="AR32" i="35"/>
  <c r="AR33" i="35"/>
  <c r="C33" i="35"/>
  <c r="AS33" i="35" s="1"/>
  <c r="AR34" i="35"/>
  <c r="C34" i="35"/>
  <c r="C14" i="35"/>
  <c r="AS14" i="35" s="1"/>
  <c r="AR15" i="35"/>
  <c r="C15" i="35"/>
  <c r="A15" i="35" s="1"/>
  <c r="AR16" i="35"/>
  <c r="C16" i="35"/>
  <c r="AS16" i="35" s="1"/>
  <c r="AR17" i="35"/>
  <c r="C17" i="35"/>
  <c r="AS17" i="35" s="1"/>
  <c r="C18" i="35"/>
  <c r="AS18" i="35" s="1"/>
  <c r="AR19" i="35"/>
  <c r="C19" i="35"/>
  <c r="AS19" i="35" s="1"/>
  <c r="AR20" i="35"/>
  <c r="C20" i="35"/>
  <c r="AS20" i="35" s="1"/>
  <c r="AR21" i="35"/>
  <c r="C21" i="35"/>
  <c r="A22" i="35" l="1"/>
  <c r="A26" i="35"/>
  <c r="A21" i="35"/>
  <c r="AF20" i="35"/>
  <c r="AF34" i="35"/>
  <c r="A17" i="35"/>
  <c r="AF17" i="35"/>
  <c r="A29" i="35"/>
  <c r="AR26" i="35"/>
  <c r="A36" i="35"/>
  <c r="A19" i="35"/>
  <c r="AS29" i="35"/>
  <c r="A35" i="35"/>
  <c r="A32" i="35"/>
  <c r="AF29" i="35"/>
  <c r="AS21" i="35"/>
  <c r="AS34" i="35"/>
  <c r="A28" i="35"/>
  <c r="A20" i="35"/>
  <c r="AS15" i="35"/>
  <c r="A34" i="35"/>
  <c r="A14" i="35"/>
  <c r="AF21" i="35"/>
  <c r="AF19" i="35"/>
  <c r="AF33" i="35"/>
  <c r="AF28" i="35"/>
  <c r="A23" i="35"/>
  <c r="AF37" i="35"/>
  <c r="A37" i="35"/>
  <c r="AR36" i="35"/>
  <c r="AF36" i="35"/>
  <c r="AR35" i="35"/>
  <c r="AF35" i="35"/>
  <c r="A31" i="35"/>
  <c r="AF31" i="35"/>
  <c r="AS31" i="35"/>
  <c r="A33" i="35"/>
  <c r="AF32" i="35"/>
  <c r="AF25" i="35"/>
  <c r="A25" i="35"/>
  <c r="AF27" i="35"/>
  <c r="A27" i="35"/>
  <c r="A24" i="35"/>
  <c r="AF24" i="35"/>
  <c r="A30" i="35"/>
  <c r="AF30" i="35"/>
  <c r="AR30" i="35"/>
  <c r="AR23" i="35"/>
  <c r="AF26" i="35"/>
  <c r="AF23" i="35"/>
  <c r="AR22" i="35"/>
  <c r="AF22" i="35"/>
  <c r="A18" i="35"/>
  <c r="AF18" i="35"/>
  <c r="AR18" i="35"/>
  <c r="AF16" i="35"/>
  <c r="A16" i="35"/>
  <c r="AF15" i="35"/>
  <c r="AR14" i="35"/>
  <c r="AF14" i="35"/>
  <c r="R3" i="69"/>
  <c r="R4" i="69"/>
  <c r="R5" i="69"/>
  <c r="R6" i="69"/>
  <c r="R7" i="69"/>
  <c r="R8" i="69"/>
  <c r="R9" i="69"/>
  <c r="R10" i="69"/>
  <c r="R11" i="69"/>
  <c r="R12" i="69"/>
  <c r="R13" i="69"/>
  <c r="R14" i="69"/>
  <c r="R15" i="69"/>
  <c r="R16" i="69"/>
  <c r="R17" i="69"/>
  <c r="R18" i="69"/>
  <c r="R19" i="69"/>
  <c r="R20" i="69"/>
  <c r="R21" i="69"/>
  <c r="R22" i="69"/>
  <c r="R23" i="69"/>
  <c r="R24" i="69"/>
  <c r="R25" i="69"/>
  <c r="R26" i="69"/>
  <c r="R27" i="69"/>
  <c r="R28" i="69"/>
  <c r="R29" i="69"/>
  <c r="R30" i="69"/>
  <c r="R31" i="69"/>
  <c r="R32" i="69"/>
  <c r="R33" i="69"/>
  <c r="R34" i="69"/>
  <c r="R35" i="69"/>
  <c r="R36" i="69"/>
  <c r="R37" i="69"/>
  <c r="R38" i="69"/>
  <c r="R39" i="69"/>
  <c r="R40" i="69"/>
  <c r="R41" i="69"/>
  <c r="R42" i="69"/>
  <c r="R43" i="69"/>
  <c r="R44" i="69"/>
  <c r="R45" i="69"/>
  <c r="R46" i="69"/>
  <c r="R47" i="69"/>
  <c r="R48" i="69"/>
  <c r="R49" i="69"/>
  <c r="R50" i="69"/>
  <c r="R51" i="69"/>
  <c r="R52" i="69"/>
  <c r="R53" i="69"/>
  <c r="R54" i="69"/>
  <c r="R55" i="69"/>
  <c r="R56" i="69"/>
  <c r="R57" i="69"/>
  <c r="R58" i="69"/>
  <c r="R59" i="69"/>
  <c r="R60" i="69"/>
  <c r="R61" i="69"/>
  <c r="R62" i="69"/>
  <c r="R63" i="69"/>
  <c r="R64" i="69"/>
  <c r="R65" i="69"/>
  <c r="R66" i="69"/>
  <c r="R67" i="69"/>
  <c r="R68" i="69"/>
  <c r="R69" i="69"/>
  <c r="R70" i="69"/>
  <c r="R71" i="69"/>
  <c r="R72" i="69"/>
  <c r="R73" i="69"/>
  <c r="R74" i="69"/>
  <c r="R75" i="69"/>
  <c r="R76" i="69"/>
  <c r="R77" i="69"/>
  <c r="R78" i="69"/>
  <c r="R79" i="69"/>
  <c r="R80" i="69"/>
  <c r="R81" i="69"/>
  <c r="R82" i="69"/>
  <c r="R83" i="69"/>
  <c r="R84" i="69"/>
  <c r="R85" i="69"/>
  <c r="R86" i="69"/>
  <c r="R87" i="69"/>
  <c r="R88" i="69"/>
  <c r="R89" i="69"/>
  <c r="R90" i="69"/>
  <c r="R91" i="69"/>
  <c r="R92" i="69"/>
  <c r="R93" i="69"/>
  <c r="R94" i="69"/>
  <c r="R95" i="69"/>
  <c r="R96" i="69"/>
  <c r="R97" i="69"/>
  <c r="R98" i="69"/>
  <c r="R99" i="69"/>
  <c r="R100" i="69"/>
  <c r="R101" i="69"/>
  <c r="R102" i="69"/>
  <c r="R103" i="69"/>
  <c r="R104" i="69"/>
  <c r="R105" i="69"/>
  <c r="R106" i="69"/>
  <c r="R107" i="69"/>
  <c r="R108" i="69"/>
  <c r="R109" i="69"/>
  <c r="R110" i="69"/>
  <c r="R111" i="69"/>
  <c r="R112" i="69"/>
  <c r="R113" i="69"/>
  <c r="R114" i="69"/>
  <c r="R115" i="69"/>
  <c r="R116" i="69"/>
  <c r="R117" i="69"/>
  <c r="R118" i="69"/>
  <c r="R119" i="69"/>
  <c r="R120" i="69"/>
  <c r="R121" i="69"/>
  <c r="R122" i="69"/>
  <c r="R123" i="69"/>
  <c r="R124" i="69"/>
  <c r="R125" i="69"/>
  <c r="R126" i="69"/>
  <c r="R127" i="69"/>
  <c r="R128" i="69"/>
  <c r="R129" i="69"/>
  <c r="R130" i="69"/>
  <c r="R131" i="69"/>
  <c r="R132" i="69"/>
  <c r="R133" i="69"/>
  <c r="R134" i="69"/>
  <c r="R135" i="69"/>
  <c r="R136" i="69"/>
  <c r="R137" i="69"/>
  <c r="R138" i="69"/>
  <c r="R139" i="69"/>
  <c r="R140" i="69"/>
  <c r="R141" i="69"/>
  <c r="R142" i="69"/>
  <c r="R143" i="69"/>
  <c r="R144" i="69"/>
  <c r="R145" i="69"/>
  <c r="R146" i="69"/>
  <c r="R147" i="69"/>
  <c r="R148" i="69"/>
  <c r="R149" i="69"/>
  <c r="R150" i="69"/>
  <c r="R151" i="69"/>
  <c r="R152" i="69"/>
  <c r="R153" i="69"/>
  <c r="R154" i="69"/>
  <c r="R155" i="69"/>
  <c r="R156" i="69"/>
  <c r="R157" i="69"/>
  <c r="R158" i="69"/>
  <c r="R159" i="69"/>
  <c r="R160" i="69"/>
  <c r="R161" i="69"/>
  <c r="R162" i="69"/>
  <c r="R163" i="69"/>
  <c r="R164" i="69"/>
  <c r="R165" i="69"/>
  <c r="R166" i="69"/>
  <c r="R167" i="69"/>
  <c r="R168" i="69"/>
  <c r="R169" i="69"/>
  <c r="R170" i="69"/>
  <c r="R171" i="69"/>
  <c r="R172" i="69"/>
  <c r="R173" i="69"/>
  <c r="R174" i="69"/>
  <c r="R175" i="69"/>
  <c r="R176" i="69"/>
  <c r="R177" i="69"/>
  <c r="R178" i="69"/>
  <c r="R179" i="69"/>
  <c r="R180" i="69"/>
  <c r="R181" i="69"/>
  <c r="R182" i="69"/>
  <c r="R183" i="69"/>
  <c r="R184" i="69"/>
  <c r="R185" i="69"/>
  <c r="R186" i="69"/>
  <c r="R187" i="69"/>
  <c r="R188" i="69"/>
  <c r="R189" i="69"/>
  <c r="R190" i="69"/>
  <c r="R191" i="69"/>
  <c r="R192" i="69"/>
  <c r="R193" i="69"/>
  <c r="R194" i="69"/>
  <c r="R195" i="69"/>
  <c r="R196" i="69"/>
  <c r="R197" i="69"/>
  <c r="R198" i="69"/>
  <c r="R199" i="69"/>
  <c r="R200" i="69"/>
  <c r="R201" i="69"/>
  <c r="R202" i="69"/>
  <c r="R203" i="69"/>
  <c r="R204" i="69"/>
  <c r="R205" i="69"/>
  <c r="R206" i="69"/>
  <c r="R207" i="69"/>
  <c r="R208" i="69"/>
  <c r="R209" i="69"/>
  <c r="R210" i="69"/>
  <c r="R211" i="69"/>
  <c r="R212" i="69"/>
  <c r="R213" i="69"/>
  <c r="R214" i="69"/>
  <c r="R215" i="69"/>
  <c r="R216" i="69"/>
  <c r="R217" i="69"/>
  <c r="R218" i="69"/>
  <c r="R219" i="69"/>
  <c r="R220" i="69"/>
  <c r="R221" i="69"/>
  <c r="R222" i="69"/>
  <c r="R223" i="69"/>
  <c r="R224" i="69"/>
  <c r="R225" i="69"/>
  <c r="R226" i="69"/>
  <c r="R2" i="69"/>
  <c r="I45" i="67" l="1"/>
  <c r="A45" i="67" s="1"/>
  <c r="I46" i="67"/>
  <c r="A46" i="67" s="1"/>
  <c r="I47" i="67"/>
  <c r="A47" i="67" s="1"/>
  <c r="I48" i="67"/>
  <c r="A48" i="67" s="1"/>
  <c r="I49" i="67"/>
  <c r="A49" i="67" s="1"/>
  <c r="I50" i="67"/>
  <c r="A50" i="67" s="1"/>
  <c r="I51" i="67"/>
  <c r="A51" i="67" s="1"/>
  <c r="I52" i="67"/>
  <c r="A52" i="67" s="1"/>
  <c r="I53" i="67"/>
  <c r="A53" i="67" s="1"/>
  <c r="I54" i="67"/>
  <c r="A54" i="67" s="1"/>
  <c r="I55" i="67"/>
  <c r="A55" i="67" s="1"/>
  <c r="I56" i="67"/>
  <c r="A56" i="67" s="1"/>
  <c r="I57" i="67"/>
  <c r="A57" i="67" s="1"/>
  <c r="I58" i="67"/>
  <c r="A58" i="67" s="1"/>
  <c r="I59" i="67"/>
  <c r="A59" i="67" s="1"/>
  <c r="I60" i="67"/>
  <c r="A60" i="67" s="1"/>
  <c r="I61" i="67"/>
  <c r="A61" i="67" s="1"/>
  <c r="H45" i="67"/>
  <c r="H46" i="67"/>
  <c r="H47" i="67"/>
  <c r="H48" i="67"/>
  <c r="H49" i="67"/>
  <c r="H50" i="67"/>
  <c r="H51" i="67"/>
  <c r="H52" i="67"/>
  <c r="H53" i="67"/>
  <c r="H54" i="67"/>
  <c r="H55" i="67"/>
  <c r="H56" i="67"/>
  <c r="H57" i="67"/>
  <c r="H58" i="67"/>
  <c r="H59" i="67"/>
  <c r="H60" i="67"/>
  <c r="H61" i="67"/>
  <c r="I2" i="67"/>
  <c r="I3" i="67"/>
  <c r="I4" i="67"/>
  <c r="I5" i="67"/>
  <c r="I6" i="67"/>
  <c r="I7" i="67"/>
  <c r="I8" i="67"/>
  <c r="I9" i="67"/>
  <c r="I10" i="67"/>
  <c r="I11" i="67"/>
  <c r="I12" i="67"/>
  <c r="I13" i="67"/>
  <c r="I14" i="67"/>
  <c r="I15" i="67"/>
  <c r="I16" i="67"/>
  <c r="I17" i="67"/>
  <c r="I18" i="67"/>
  <c r="I19" i="67"/>
  <c r="I20" i="67"/>
  <c r="I21" i="67"/>
  <c r="I22" i="67"/>
  <c r="I23" i="67"/>
  <c r="I24" i="67"/>
  <c r="I25" i="67"/>
  <c r="I26" i="67"/>
  <c r="I27" i="67"/>
  <c r="I28" i="67"/>
  <c r="I29" i="67"/>
  <c r="I30" i="67"/>
  <c r="I31" i="67"/>
  <c r="I32" i="67"/>
  <c r="I33" i="67"/>
  <c r="I34" i="67"/>
  <c r="I35" i="67"/>
  <c r="I36" i="67"/>
  <c r="I37" i="67"/>
  <c r="I38" i="67"/>
  <c r="I39" i="67"/>
  <c r="I40" i="67"/>
  <c r="I41" i="67"/>
  <c r="I42" i="67"/>
  <c r="I43" i="67"/>
  <c r="I44" i="67"/>
  <c r="D41" i="18" l="1"/>
  <c r="E27" i="82"/>
  <c r="D27" i="82"/>
  <c r="C27" i="82"/>
  <c r="B27" i="82"/>
  <c r="E12" i="33"/>
  <c r="F12" i="33"/>
  <c r="G12" i="33"/>
  <c r="H12" i="33"/>
  <c r="D9" i="9" s="1" a="1"/>
  <c r="D9" i="9" s="1"/>
  <c r="I12" i="33"/>
  <c r="E13" i="33"/>
  <c r="F13" i="33"/>
  <c r="G13" i="33"/>
  <c r="H13" i="33"/>
  <c r="D10" i="9" s="1" a="1"/>
  <c r="D10" i="9" s="1"/>
  <c r="I13" i="33"/>
  <c r="E14" i="33"/>
  <c r="F14" i="33"/>
  <c r="G14" i="33"/>
  <c r="H14" i="33"/>
  <c r="D11" i="9" s="1" a="1"/>
  <c r="D11" i="9" s="1"/>
  <c r="I14" i="33"/>
  <c r="E15" i="33"/>
  <c r="F15" i="33"/>
  <c r="G15" i="33"/>
  <c r="H15" i="33"/>
  <c r="I15" i="33"/>
  <c r="E16" i="33"/>
  <c r="F16" i="33"/>
  <c r="G16" i="33"/>
  <c r="H16" i="33"/>
  <c r="I16" i="33"/>
  <c r="E17" i="33"/>
  <c r="F17" i="33"/>
  <c r="G17" i="33"/>
  <c r="H17" i="33"/>
  <c r="I17" i="33"/>
  <c r="E18" i="33"/>
  <c r="F18" i="33"/>
  <c r="G18" i="33"/>
  <c r="H18" i="33"/>
  <c r="I18" i="33"/>
  <c r="E19" i="33"/>
  <c r="F19" i="33"/>
  <c r="G19" i="33"/>
  <c r="H19" i="33"/>
  <c r="I19" i="33"/>
  <c r="E20" i="33"/>
  <c r="F20" i="33"/>
  <c r="G20" i="33"/>
  <c r="H20" i="33"/>
  <c r="D17" i="9" s="1" a="1"/>
  <c r="D17" i="9" s="1"/>
  <c r="I20" i="33"/>
  <c r="E21" i="33"/>
  <c r="F21" i="33"/>
  <c r="G21" i="33"/>
  <c r="H21" i="33"/>
  <c r="I21" i="33"/>
  <c r="F11" i="33"/>
  <c r="G11" i="33"/>
  <c r="H11" i="33"/>
  <c r="I11" i="33"/>
  <c r="E11" i="33"/>
  <c r="H3" i="67"/>
  <c r="H2" i="67"/>
  <c r="H4" i="67"/>
  <c r="H5" i="67"/>
  <c r="H6" i="67"/>
  <c r="H7" i="67"/>
  <c r="H8" i="67"/>
  <c r="H9" i="67"/>
  <c r="H10" i="67"/>
  <c r="H11" i="67"/>
  <c r="H12" i="67"/>
  <c r="H13" i="67"/>
  <c r="H14" i="67"/>
  <c r="H15" i="67"/>
  <c r="H16" i="67"/>
  <c r="H17" i="67"/>
  <c r="H18" i="67"/>
  <c r="H19" i="67"/>
  <c r="H20" i="67"/>
  <c r="H21" i="67"/>
  <c r="H22" i="67"/>
  <c r="H23" i="67"/>
  <c r="H24" i="67"/>
  <c r="H25" i="67"/>
  <c r="H26" i="67"/>
  <c r="H27" i="67"/>
  <c r="H28" i="67"/>
  <c r="H29" i="67"/>
  <c r="H30" i="67"/>
  <c r="H31" i="67"/>
  <c r="H32" i="67"/>
  <c r="H33" i="67"/>
  <c r="H34" i="67"/>
  <c r="H35" i="67"/>
  <c r="H36" i="67"/>
  <c r="H37" i="67"/>
  <c r="H38" i="67"/>
  <c r="H39" i="67"/>
  <c r="H40" i="67"/>
  <c r="H41" i="67"/>
  <c r="H42" i="67"/>
  <c r="H43" i="67"/>
  <c r="H44" i="67"/>
  <c r="AB7" i="9"/>
  <c r="D12" i="9" l="1" a="1"/>
  <c r="D12" i="9" s="1"/>
  <c r="D15" i="9" a="1"/>
  <c r="D15" i="9" s="1"/>
  <c r="D13" i="9" a="1"/>
  <c r="D13" i="9" s="1"/>
  <c r="D16" i="9" a="1"/>
  <c r="D16" i="9" s="1"/>
  <c r="D8" i="9" a="1"/>
  <c r="D8" i="9" s="1"/>
  <c r="D14" i="9" a="1"/>
  <c r="D14" i="9" s="1"/>
  <c r="EE15" i="81"/>
  <c r="A2" i="18" l="1"/>
  <c r="A2" i="23" s="1"/>
  <c r="A1" i="18"/>
  <c r="A1" i="23" s="1"/>
  <c r="B20" i="42" l="1"/>
  <c r="J42" i="87" l="1"/>
  <c r="J49" i="87" s="1"/>
  <c r="J56" i="87" s="1"/>
  <c r="J63" i="87" s="1"/>
  <c r="J70" i="87" s="1"/>
  <c r="J41" i="87"/>
  <c r="J48" i="87" s="1"/>
  <c r="J55" i="87" s="1"/>
  <c r="J62" i="87" s="1"/>
  <c r="J69" i="87" s="1"/>
  <c r="J40" i="87"/>
  <c r="J47" i="87" s="1"/>
  <c r="J54" i="87" s="1"/>
  <c r="J61" i="87" s="1"/>
  <c r="J68" i="87" s="1"/>
  <c r="J39" i="87"/>
  <c r="J46" i="87" s="1"/>
  <c r="J53" i="87" s="1"/>
  <c r="J60" i="87" s="1"/>
  <c r="J67" i="87" s="1"/>
  <c r="J38" i="87"/>
  <c r="J45" i="87" s="1"/>
  <c r="J52" i="87" s="1"/>
  <c r="J59" i="87" s="1"/>
  <c r="J66" i="87" s="1"/>
  <c r="J39" i="88"/>
  <c r="J46" i="88" s="1"/>
  <c r="J53" i="88" s="1"/>
  <c r="J60" i="88" s="1"/>
  <c r="J67" i="88" s="1"/>
  <c r="J40" i="88"/>
  <c r="J47" i="88" s="1"/>
  <c r="J54" i="88" s="1"/>
  <c r="J61" i="88" s="1"/>
  <c r="J68" i="88" s="1"/>
  <c r="J41" i="88"/>
  <c r="J48" i="88" s="1"/>
  <c r="J55" i="88" s="1"/>
  <c r="J62" i="88" s="1"/>
  <c r="J69" i="88" s="1"/>
  <c r="J42" i="88"/>
  <c r="J49" i="88" s="1"/>
  <c r="J56" i="88" s="1"/>
  <c r="J63" i="88" s="1"/>
  <c r="J70" i="88" s="1"/>
  <c r="J38" i="88"/>
  <c r="J45" i="88" s="1"/>
  <c r="J52" i="88" s="1"/>
  <c r="J59" i="88" s="1"/>
  <c r="J66" i="88" s="1"/>
  <c r="AL29" i="88"/>
  <c r="AL30" i="88" s="1"/>
  <c r="AL31" i="88" s="1"/>
  <c r="AL32" i="88" s="1"/>
  <c r="AL33" i="88" s="1"/>
  <c r="AE29" i="88"/>
  <c r="AE30" i="88" s="1"/>
  <c r="AE31" i="88" s="1"/>
  <c r="AE32" i="88" s="1"/>
  <c r="AE33" i="88" s="1"/>
  <c r="X29" i="88"/>
  <c r="X30" i="88" s="1"/>
  <c r="X31" i="88" s="1"/>
  <c r="X32" i="88" s="1"/>
  <c r="X33" i="88" s="1"/>
  <c r="Q29" i="88"/>
  <c r="Q30" i="88" s="1"/>
  <c r="Q31" i="88" s="1"/>
  <c r="Q32" i="88" s="1"/>
  <c r="Q33" i="88" s="1"/>
  <c r="J29" i="88"/>
  <c r="J30" i="88" s="1"/>
  <c r="J31" i="88" s="1"/>
  <c r="J32" i="88" s="1"/>
  <c r="J33" i="88" s="1"/>
  <c r="AL29" i="87"/>
  <c r="AL30" i="87" s="1"/>
  <c r="AL31" i="87" s="1"/>
  <c r="AL32" i="87" s="1"/>
  <c r="AL33" i="87" s="1"/>
  <c r="AE29" i="87"/>
  <c r="AE30" i="87" s="1"/>
  <c r="AE31" i="87" s="1"/>
  <c r="AE32" i="87" s="1"/>
  <c r="AE33" i="87" s="1"/>
  <c r="X29" i="87"/>
  <c r="X30" i="87" s="1"/>
  <c r="X31" i="87" s="1"/>
  <c r="X32" i="87" s="1"/>
  <c r="X33" i="87" s="1"/>
  <c r="Q29" i="87"/>
  <c r="Q30" i="87" s="1"/>
  <c r="Q31" i="87" s="1"/>
  <c r="Q32" i="87" s="1"/>
  <c r="Q33" i="87" s="1"/>
  <c r="J29" i="87"/>
  <c r="J30" i="87" s="1"/>
  <c r="J31" i="87" s="1"/>
  <c r="J32" i="87" s="1"/>
  <c r="J33" i="87" s="1"/>
  <c r="A3" i="67" l="1"/>
  <c r="A4" i="67"/>
  <c r="A5" i="67"/>
  <c r="A6" i="67"/>
  <c r="A7" i="67"/>
  <c r="A8" i="67"/>
  <c r="A9" i="67"/>
  <c r="A10" i="67"/>
  <c r="A11" i="67"/>
  <c r="A12" i="67"/>
  <c r="A13" i="67"/>
  <c r="A14" i="67"/>
  <c r="A15" i="67"/>
  <c r="A16" i="67"/>
  <c r="A17" i="67"/>
  <c r="A18" i="67"/>
  <c r="A19" i="67"/>
  <c r="A20" i="67"/>
  <c r="A21" i="67"/>
  <c r="A22" i="67"/>
  <c r="A23" i="67"/>
  <c r="A24" i="67"/>
  <c r="A25" i="67"/>
  <c r="A26" i="67"/>
  <c r="A27" i="67"/>
  <c r="A28" i="67"/>
  <c r="A29" i="67"/>
  <c r="A30" i="67"/>
  <c r="A31" i="67"/>
  <c r="A32" i="67"/>
  <c r="A33" i="67"/>
  <c r="A34" i="67"/>
  <c r="A35" i="67"/>
  <c r="A36" i="67"/>
  <c r="A37" i="67"/>
  <c r="A38" i="67"/>
  <c r="A39" i="67"/>
  <c r="A40" i="67"/>
  <c r="A41" i="67"/>
  <c r="A42" i="67"/>
  <c r="A43" i="67"/>
  <c r="A44" i="67"/>
  <c r="A2" i="67"/>
  <c r="Z39" i="81" l="1"/>
  <c r="B11" i="42" l="1"/>
  <c r="B29" i="42" s="1"/>
  <c r="C11" i="42"/>
  <c r="D11" i="42"/>
  <c r="C20" i="42"/>
  <c r="C24" i="42" s="1"/>
  <c r="D20" i="42"/>
  <c r="I3" i="36" l="1"/>
  <c r="J3" i="36"/>
  <c r="K3" i="36"/>
  <c r="L3" i="36"/>
  <c r="I4" i="36"/>
  <c r="J4" i="36"/>
  <c r="K4" i="36"/>
  <c r="L4" i="36"/>
  <c r="I5" i="36"/>
  <c r="J5" i="36"/>
  <c r="K5" i="36"/>
  <c r="L5" i="36"/>
  <c r="I6" i="36"/>
  <c r="J6" i="36"/>
  <c r="K6" i="36"/>
  <c r="L6" i="36"/>
  <c r="I7" i="36"/>
  <c r="J7" i="36"/>
  <c r="K7" i="36"/>
  <c r="L7" i="36"/>
  <c r="D3" i="36"/>
  <c r="E3" i="36"/>
  <c r="F3" i="36"/>
  <c r="G3" i="36"/>
  <c r="D4" i="36"/>
  <c r="E4" i="36"/>
  <c r="F4" i="36"/>
  <c r="G4" i="36"/>
  <c r="D5" i="36"/>
  <c r="E5" i="36"/>
  <c r="F5" i="36"/>
  <c r="G5" i="36"/>
  <c r="D6" i="36"/>
  <c r="E6" i="36"/>
  <c r="F6" i="36"/>
  <c r="G6" i="36"/>
  <c r="D7" i="36"/>
  <c r="E7" i="36"/>
  <c r="F7" i="36"/>
  <c r="G7" i="36"/>
  <c r="C5" i="35"/>
  <c r="B3" i="36" l="1"/>
  <c r="B9" i="36" l="1"/>
  <c r="B15" i="36" s="1"/>
  <c r="B21" i="36" s="1"/>
  <c r="B27" i="36" s="1"/>
  <c r="B4" i="36"/>
  <c r="B5" i="36" s="1"/>
  <c r="B11" i="36" s="1"/>
  <c r="B17" i="36" s="1"/>
  <c r="B23" i="36" s="1"/>
  <c r="B29" i="36" s="1"/>
  <c r="B6" i="36" l="1"/>
  <c r="B10" i="36"/>
  <c r="B16" i="36" s="1"/>
  <c r="B22" i="36" s="1"/>
  <c r="B28" i="36" s="1"/>
  <c r="B12" i="36" l="1"/>
  <c r="B18" i="36" s="1"/>
  <c r="B24" i="36" s="1"/>
  <c r="B30" i="36" s="1"/>
  <c r="B7" i="36"/>
  <c r="B13" i="36" s="1"/>
  <c r="B19" i="36" s="1"/>
  <c r="B25" i="36" s="1"/>
  <c r="B31" i="36" s="1"/>
  <c r="T4" i="70"/>
  <c r="T5" i="70"/>
  <c r="T6" i="70"/>
  <c r="T7" i="70"/>
  <c r="T8" i="70"/>
  <c r="T9" i="70"/>
  <c r="T10" i="70"/>
  <c r="T11" i="70"/>
  <c r="T3" i="70"/>
  <c r="T2" i="70"/>
  <c r="T1" i="70"/>
  <c r="H55" i="70"/>
  <c r="G55" i="70"/>
  <c r="F55" i="70"/>
  <c r="A2" i="26"/>
  <c r="A1" i="26"/>
  <c r="R9" i="9"/>
  <c r="R10" i="9"/>
  <c r="R11" i="9"/>
  <c r="R12" i="9"/>
  <c r="R13" i="9"/>
  <c r="R14" i="9"/>
  <c r="R15" i="9"/>
  <c r="R16" i="9"/>
  <c r="R17" i="9"/>
  <c r="R18" i="9"/>
  <c r="R8" i="9"/>
  <c r="D41" i="23"/>
  <c r="C6" i="35"/>
  <c r="C7" i="35"/>
  <c r="C8" i="35"/>
  <c r="C9" i="35"/>
  <c r="C10" i="35"/>
  <c r="C11" i="35"/>
  <c r="C12" i="35"/>
  <c r="C13" i="35"/>
  <c r="E57" i="18"/>
  <c r="E57" i="23" s="1"/>
  <c r="E55" i="18"/>
  <c r="E53" i="18"/>
  <c r="E53" i="23" s="1"/>
  <c r="L26" i="35" l="1"/>
  <c r="O26" i="35"/>
  <c r="O17" i="35"/>
  <c r="F29" i="35"/>
  <c r="P21" i="35"/>
  <c r="Q21" i="35"/>
  <c r="D15" i="35"/>
  <c r="S21" i="35"/>
  <c r="M21" i="35"/>
  <c r="F15" i="35"/>
  <c r="G15" i="35"/>
  <c r="H36" i="35"/>
  <c r="E36" i="35"/>
  <c r="K35" i="35"/>
  <c r="P35" i="35"/>
  <c r="S32" i="35"/>
  <c r="H29" i="35"/>
  <c r="H26" i="35"/>
  <c r="F23" i="35"/>
  <c r="J23" i="35"/>
  <c r="K22" i="35"/>
  <c r="G22" i="35"/>
  <c r="S36" i="35"/>
  <c r="Q23" i="35"/>
  <c r="P22" i="35"/>
  <c r="O15" i="35"/>
  <c r="K15" i="35"/>
  <c r="L15" i="35"/>
  <c r="N15" i="35"/>
  <c r="G17" i="35"/>
  <c r="P36" i="35"/>
  <c r="D36" i="35"/>
  <c r="S35" i="35"/>
  <c r="G35" i="35"/>
  <c r="S29" i="35"/>
  <c r="F32" i="35"/>
  <c r="P29" i="35"/>
  <c r="P26" i="35"/>
  <c r="N23" i="35"/>
  <c r="R23" i="35"/>
  <c r="S22" i="35"/>
  <c r="O22" i="35"/>
  <c r="R35" i="35"/>
  <c r="O29" i="35"/>
  <c r="Q29" i="35"/>
  <c r="O21" i="35"/>
  <c r="R15" i="35"/>
  <c r="S17" i="35"/>
  <c r="D17" i="35"/>
  <c r="J15" i="35"/>
  <c r="F17" i="35"/>
  <c r="G21" i="35"/>
  <c r="I36" i="35"/>
  <c r="L36" i="35"/>
  <c r="D35" i="35"/>
  <c r="O35" i="35"/>
  <c r="N32" i="35"/>
  <c r="F26" i="35"/>
  <c r="J29" i="35"/>
  <c r="I26" i="35"/>
  <c r="G23" i="35"/>
  <c r="K23" i="35"/>
  <c r="D22" i="35"/>
  <c r="K34" i="35"/>
  <c r="R22" i="35"/>
  <c r="I29" i="35"/>
  <c r="H15" i="35"/>
  <c r="I15" i="35"/>
  <c r="J17" i="35"/>
  <c r="L17" i="35"/>
  <c r="E15" i="35"/>
  <c r="N17" i="35"/>
  <c r="Q36" i="35"/>
  <c r="M36" i="35"/>
  <c r="L35" i="35"/>
  <c r="H35" i="35"/>
  <c r="G26" i="35"/>
  <c r="G32" i="35"/>
  <c r="M23" i="35"/>
  <c r="R29" i="35"/>
  <c r="Q26" i="35"/>
  <c r="O23" i="35"/>
  <c r="S23" i="35"/>
  <c r="N26" i="35"/>
  <c r="L22" i="35"/>
  <c r="N35" i="35"/>
  <c r="D28" i="35"/>
  <c r="K29" i="35"/>
  <c r="P15" i="35"/>
  <c r="Q15" i="35"/>
  <c r="R17" i="35"/>
  <c r="D21" i="35"/>
  <c r="M15" i="35"/>
  <c r="S15" i="35"/>
  <c r="F21" i="35"/>
  <c r="F36" i="35"/>
  <c r="J36" i="35"/>
  <c r="I35" i="35"/>
  <c r="E35" i="35"/>
  <c r="O32" i="35"/>
  <c r="D29" i="35"/>
  <c r="J26" i="35"/>
  <c r="H23" i="35"/>
  <c r="D23" i="35"/>
  <c r="I22" i="35"/>
  <c r="E22" i="35"/>
  <c r="E21" i="35"/>
  <c r="S26" i="35"/>
  <c r="M29" i="35"/>
  <c r="H17" i="35"/>
  <c r="I17" i="35"/>
  <c r="J21" i="35"/>
  <c r="K17" i="35"/>
  <c r="L21" i="35"/>
  <c r="E17" i="35"/>
  <c r="D26" i="35"/>
  <c r="N21" i="35"/>
  <c r="N36" i="35"/>
  <c r="R36" i="35"/>
  <c r="Q35" i="35"/>
  <c r="M35" i="35"/>
  <c r="I32" i="35"/>
  <c r="L29" i="35"/>
  <c r="R26" i="35"/>
  <c r="P23" i="35"/>
  <c r="L23" i="35"/>
  <c r="Q22" i="35"/>
  <c r="M22" i="35"/>
  <c r="M26" i="35"/>
  <c r="N29" i="35"/>
  <c r="P17" i="35"/>
  <c r="Q17" i="35"/>
  <c r="R21" i="35"/>
  <c r="K21" i="35"/>
  <c r="M17" i="35"/>
  <c r="G36" i="35"/>
  <c r="K36" i="35"/>
  <c r="J35" i="35"/>
  <c r="F35" i="35"/>
  <c r="S34" i="35"/>
  <c r="R34" i="35"/>
  <c r="Q32" i="35"/>
  <c r="G29" i="35"/>
  <c r="E26" i="35"/>
  <c r="K26" i="35"/>
  <c r="I23" i="35"/>
  <c r="J22" i="35"/>
  <c r="F22" i="35"/>
  <c r="O36" i="35"/>
  <c r="K32" i="35"/>
  <c r="E29" i="35"/>
  <c r="H21" i="35"/>
  <c r="I21" i="35"/>
  <c r="H22" i="35"/>
  <c r="I28" i="35"/>
  <c r="N22" i="35"/>
  <c r="H28" i="35"/>
  <c r="G16" i="35"/>
  <c r="K16" i="35"/>
  <c r="E23" i="35"/>
  <c r="L14" i="35"/>
  <c r="H14" i="35"/>
  <c r="E32" i="35"/>
  <c r="S19" i="35"/>
  <c r="Q19" i="35"/>
  <c r="M18" i="35"/>
  <c r="Q18" i="35"/>
  <c r="Q34" i="35"/>
  <c r="O34" i="35"/>
  <c r="E20" i="35"/>
  <c r="I20" i="35"/>
  <c r="E37" i="35"/>
  <c r="J37" i="35"/>
  <c r="E30" i="35"/>
  <c r="N30" i="35"/>
  <c r="F27" i="35"/>
  <c r="Q27" i="35"/>
  <c r="J31" i="35"/>
  <c r="H31" i="35"/>
  <c r="E24" i="35"/>
  <c r="I24" i="35"/>
  <c r="D25" i="35"/>
  <c r="J25" i="35"/>
  <c r="E33" i="35"/>
  <c r="Q33" i="35"/>
  <c r="Q28" i="35"/>
  <c r="N16" i="35"/>
  <c r="R16" i="35"/>
  <c r="O14" i="35"/>
  <c r="D14" i="35"/>
  <c r="R32" i="35"/>
  <c r="M28" i="35"/>
  <c r="M19" i="35"/>
  <c r="I19" i="35"/>
  <c r="E18" i="35"/>
  <c r="I18" i="35"/>
  <c r="H34" i="35"/>
  <c r="F34" i="35"/>
  <c r="L20" i="35"/>
  <c r="P20" i="35"/>
  <c r="M37" i="35"/>
  <c r="R37" i="35"/>
  <c r="M30" i="35"/>
  <c r="P30" i="35"/>
  <c r="N27" i="35"/>
  <c r="S27" i="35"/>
  <c r="R31" i="35"/>
  <c r="K31" i="35"/>
  <c r="M24" i="35"/>
  <c r="Q24" i="35"/>
  <c r="L25" i="35"/>
  <c r="O25" i="35"/>
  <c r="M33" i="35"/>
  <c r="S33" i="35"/>
  <c r="F28" i="35"/>
  <c r="F16" i="35"/>
  <c r="J16" i="35"/>
  <c r="G14" i="35"/>
  <c r="K14" i="35"/>
  <c r="H32" i="35"/>
  <c r="O28" i="35"/>
  <c r="E19" i="35"/>
  <c r="P19" i="35"/>
  <c r="L18" i="35"/>
  <c r="P18" i="35"/>
  <c r="I34" i="35"/>
  <c r="P34" i="35"/>
  <c r="D20" i="35"/>
  <c r="H20" i="35"/>
  <c r="F37" i="35"/>
  <c r="I37" i="35"/>
  <c r="G30" i="35"/>
  <c r="H30" i="35"/>
  <c r="G27" i="35"/>
  <c r="L27" i="35"/>
  <c r="D31" i="35"/>
  <c r="O31" i="35"/>
  <c r="F24" i="35"/>
  <c r="J24" i="35"/>
  <c r="E25" i="35"/>
  <c r="Q25" i="35"/>
  <c r="F33" i="35"/>
  <c r="I33" i="35"/>
  <c r="P28" i="35"/>
  <c r="M16" i="35"/>
  <c r="Q16" i="35"/>
  <c r="N14" i="35"/>
  <c r="J14" i="35"/>
  <c r="J32" i="35"/>
  <c r="N28" i="35"/>
  <c r="L19" i="35"/>
  <c r="H19" i="35"/>
  <c r="D18" i="35"/>
  <c r="H18" i="35"/>
  <c r="L34" i="35"/>
  <c r="O20" i="35"/>
  <c r="S20" i="35"/>
  <c r="L28" i="35"/>
  <c r="N37" i="35"/>
  <c r="Q37" i="35"/>
  <c r="O30" i="35"/>
  <c r="S30" i="35"/>
  <c r="O27" i="35"/>
  <c r="I27" i="35"/>
  <c r="L31" i="35"/>
  <c r="S31" i="35"/>
  <c r="N24" i="35"/>
  <c r="R24" i="35"/>
  <c r="M25" i="35"/>
  <c r="R25" i="35"/>
  <c r="N33" i="35"/>
  <c r="H33" i="35"/>
  <c r="S28" i="35"/>
  <c r="E16" i="35"/>
  <c r="I16" i="35"/>
  <c r="F14" i="35"/>
  <c r="R14" i="35"/>
  <c r="L32" i="35"/>
  <c r="O19" i="35"/>
  <c r="D19" i="35"/>
  <c r="O18" i="35"/>
  <c r="S18" i="35"/>
  <c r="E28" i="35"/>
  <c r="M34" i="35"/>
  <c r="G20" i="35"/>
  <c r="K20" i="35"/>
  <c r="K37" i="35"/>
  <c r="G37" i="35"/>
  <c r="I30" i="35"/>
  <c r="R30" i="35"/>
  <c r="J27" i="35"/>
  <c r="H27" i="35"/>
  <c r="F31" i="35"/>
  <c r="M31" i="35"/>
  <c r="K24" i="35"/>
  <c r="G24" i="35"/>
  <c r="H25" i="35"/>
  <c r="F25" i="35"/>
  <c r="J33" i="35"/>
  <c r="G33" i="35"/>
  <c r="K28" i="35"/>
  <c r="S16" i="35"/>
  <c r="P16" i="35"/>
  <c r="M14" i="35"/>
  <c r="Q14" i="35"/>
  <c r="M32" i="35"/>
  <c r="G19" i="35"/>
  <c r="K19" i="35"/>
  <c r="G18" i="35"/>
  <c r="K18" i="35"/>
  <c r="G28" i="35"/>
  <c r="D34" i="35"/>
  <c r="N20" i="35"/>
  <c r="R20" i="35"/>
  <c r="S37" i="35"/>
  <c r="O37" i="35"/>
  <c r="Q30" i="35"/>
  <c r="F30" i="35"/>
  <c r="R27" i="35"/>
  <c r="P27" i="35"/>
  <c r="N31" i="35"/>
  <c r="P31" i="35"/>
  <c r="S24" i="35"/>
  <c r="O24" i="35"/>
  <c r="P25" i="35"/>
  <c r="N25" i="35"/>
  <c r="R33" i="35"/>
  <c r="O33" i="35"/>
  <c r="R28" i="35"/>
  <c r="L16" i="35"/>
  <c r="H16" i="35"/>
  <c r="E14" i="35"/>
  <c r="I14" i="35"/>
  <c r="P32" i="35"/>
  <c r="N19" i="35"/>
  <c r="R19" i="35"/>
  <c r="N18" i="35"/>
  <c r="R18" i="35"/>
  <c r="J34" i="35"/>
  <c r="N34" i="35"/>
  <c r="F20" i="35"/>
  <c r="J20" i="35"/>
  <c r="D37" i="35"/>
  <c r="H37" i="35"/>
  <c r="D30" i="35"/>
  <c r="J30" i="35"/>
  <c r="E27" i="35"/>
  <c r="D27" i="35"/>
  <c r="I31" i="35"/>
  <c r="E31" i="35"/>
  <c r="D24" i="35"/>
  <c r="H24" i="35"/>
  <c r="K25" i="35"/>
  <c r="G25" i="35"/>
  <c r="D33" i="35"/>
  <c r="K33" i="35"/>
  <c r="O16" i="35"/>
  <c r="D16" i="35"/>
  <c r="J28" i="35"/>
  <c r="S14" i="35"/>
  <c r="P14" i="35"/>
  <c r="D32" i="35"/>
  <c r="F19" i="35"/>
  <c r="J19" i="35"/>
  <c r="F18" i="35"/>
  <c r="J18" i="35"/>
  <c r="G34" i="35"/>
  <c r="E34" i="35"/>
  <c r="M20" i="35"/>
  <c r="Q20" i="35"/>
  <c r="L37" i="35"/>
  <c r="P37" i="35"/>
  <c r="L30" i="35"/>
  <c r="K30" i="35"/>
  <c r="M27" i="35"/>
  <c r="K27" i="35"/>
  <c r="Q31" i="35"/>
  <c r="G31" i="35"/>
  <c r="L24" i="35"/>
  <c r="P24" i="35"/>
  <c r="S25" i="35"/>
  <c r="I25" i="35"/>
  <c r="L33" i="35"/>
  <c r="P33" i="35"/>
  <c r="DV52" i="81"/>
  <c r="AA24" i="35" l="1" a="1"/>
  <c r="AA24" i="35" s="1"/>
  <c r="AC16" i="35" a="1"/>
  <c r="AC16" i="35" s="1"/>
  <c r="Y29" i="35" a="1"/>
  <c r="Y29" i="35" s="1"/>
  <c r="Z24" i="35" a="1"/>
  <c r="Z24" i="35" s="1"/>
  <c r="Z29" i="35" a="1"/>
  <c r="Z29" i="35" s="1"/>
  <c r="AB29" i="35" a="1"/>
  <c r="AB29" i="35" s="1"/>
  <c r="AC29" i="35" a="1"/>
  <c r="AC29" i="35" s="1"/>
  <c r="AA29" i="35" a="1"/>
  <c r="AA29" i="35" s="1"/>
  <c r="AB24" i="35" a="1"/>
  <c r="AB24" i="35" s="1"/>
  <c r="AA16" i="35" a="1"/>
  <c r="AA16" i="35" s="1"/>
  <c r="Y16" i="35" a="1"/>
  <c r="Y16" i="35" s="1"/>
  <c r="Y24" i="35" a="1"/>
  <c r="Y24" i="35" s="1"/>
  <c r="AC24" i="35" a="1"/>
  <c r="AC24" i="35" s="1"/>
  <c r="AB16" i="35" a="1"/>
  <c r="AB16" i="35" s="1"/>
  <c r="Z16" i="35" a="1"/>
  <c r="Z16" i="35" s="1"/>
  <c r="K11" i="88" a="1"/>
  <c r="K11" i="88" s="1"/>
  <c r="R16" i="88" a="1"/>
  <c r="R16" i="88" s="1"/>
  <c r="Y21" i="88" a="1"/>
  <c r="Z21" i="88" s="1"/>
  <c r="Z29" i="88" s="1"/>
  <c r="AF29" i="88"/>
  <c r="K39" i="88" s="1"/>
  <c r="H4" i="36" s="1"/>
  <c r="AG29" i="88"/>
  <c r="AH29" i="88"/>
  <c r="AI29" i="88"/>
  <c r="AJ29" i="88"/>
  <c r="AM29" i="88"/>
  <c r="K38" i="88" s="1"/>
  <c r="H3" i="36" s="1"/>
  <c r="AF30" i="88"/>
  <c r="AG30" i="88"/>
  <c r="L46" i="88" s="1"/>
  <c r="I10" i="36" s="1"/>
  <c r="AH30" i="88"/>
  <c r="M46" i="88" s="1"/>
  <c r="J10" i="36" s="1"/>
  <c r="AI30" i="88"/>
  <c r="N46" i="88" s="1"/>
  <c r="K10" i="36" s="1"/>
  <c r="AJ30" i="88"/>
  <c r="O46" i="88" s="1"/>
  <c r="L10" i="36" s="1"/>
  <c r="AN30" i="88"/>
  <c r="AF31" i="88"/>
  <c r="K53" i="88" s="1"/>
  <c r="H16" i="36" s="1"/>
  <c r="AG31" i="88"/>
  <c r="L53" i="88" s="1"/>
  <c r="I16" i="36" s="1"/>
  <c r="AH31" i="88"/>
  <c r="M53" i="88" s="1"/>
  <c r="J16" i="36" s="1"/>
  <c r="AI31" i="88"/>
  <c r="N53" i="88" s="1"/>
  <c r="K16" i="36" s="1"/>
  <c r="AJ31" i="88"/>
  <c r="O53" i="88" s="1"/>
  <c r="L16" i="36" s="1"/>
  <c r="AO31" i="88"/>
  <c r="M52" i="88" s="1"/>
  <c r="J15" i="36" s="1"/>
  <c r="AF32" i="88"/>
  <c r="K60" i="88" s="1"/>
  <c r="H22" i="36" s="1"/>
  <c r="AG32" i="88"/>
  <c r="L60" i="88" s="1"/>
  <c r="I22" i="36" s="1"/>
  <c r="AH32" i="88"/>
  <c r="M60" i="88" s="1"/>
  <c r="J22" i="36" s="1"/>
  <c r="AI32" i="88"/>
  <c r="N60" i="88" s="1"/>
  <c r="K22" i="36" s="1"/>
  <c r="AJ32" i="88"/>
  <c r="O60" i="88" s="1"/>
  <c r="L22" i="36" s="1"/>
  <c r="AP32" i="88"/>
  <c r="N59" i="88" s="1"/>
  <c r="K21" i="36" s="1"/>
  <c r="AF33" i="88"/>
  <c r="K67" i="88" s="1"/>
  <c r="H28" i="36" s="1"/>
  <c r="AG33" i="88"/>
  <c r="L67" i="88" s="1"/>
  <c r="I28" i="36" s="1"/>
  <c r="AH33" i="88"/>
  <c r="M67" i="88" s="1"/>
  <c r="J28" i="36" s="1"/>
  <c r="AI33" i="88"/>
  <c r="N67" i="88" s="1"/>
  <c r="K28" i="36" s="1"/>
  <c r="AJ33" i="88"/>
  <c r="O67" i="88" s="1"/>
  <c r="L28" i="36" s="1"/>
  <c r="AQ33" i="88"/>
  <c r="O66" i="88" s="1"/>
  <c r="L27" i="36" s="1"/>
  <c r="L43" i="88"/>
  <c r="M43" i="88"/>
  <c r="N43" i="88"/>
  <c r="O43" i="88"/>
  <c r="K45" i="88"/>
  <c r="H9" i="36" s="1"/>
  <c r="L45" i="88"/>
  <c r="I9" i="36" s="1"/>
  <c r="M45" i="88"/>
  <c r="J9" i="36" s="1"/>
  <c r="N45" i="88"/>
  <c r="K9" i="36" s="1"/>
  <c r="O45" i="88"/>
  <c r="L9" i="36" s="1"/>
  <c r="K46" i="88"/>
  <c r="H10" i="36" s="1"/>
  <c r="K52" i="88"/>
  <c r="H15" i="36" s="1"/>
  <c r="L52" i="88"/>
  <c r="I15" i="36" s="1"/>
  <c r="N52" i="88"/>
  <c r="K15" i="36" s="1"/>
  <c r="O52" i="88"/>
  <c r="L15" i="36" s="1"/>
  <c r="K59" i="88"/>
  <c r="H21" i="36" s="1"/>
  <c r="L59" i="88"/>
  <c r="I21" i="36" s="1"/>
  <c r="M59" i="88"/>
  <c r="J21" i="36" s="1"/>
  <c r="O59" i="88"/>
  <c r="L21" i="36" s="1"/>
  <c r="K66" i="88"/>
  <c r="H27" i="36" s="1"/>
  <c r="L66" i="88"/>
  <c r="I27" i="36" s="1"/>
  <c r="M66" i="88"/>
  <c r="J27" i="36" s="1"/>
  <c r="N66" i="88"/>
  <c r="K27" i="36" s="1"/>
  <c r="K11" i="87" a="1"/>
  <c r="R16" i="87" a="1"/>
  <c r="S18" i="87" s="1"/>
  <c r="Y21" i="87" a="1"/>
  <c r="Y22" i="87" s="1"/>
  <c r="Y30" i="87" s="1"/>
  <c r="K47" i="87" s="1"/>
  <c r="C11" i="36" s="1"/>
  <c r="AF29" i="87"/>
  <c r="K39" i="87" s="1"/>
  <c r="C4" i="36" s="1"/>
  <c r="AG29" i="87"/>
  <c r="AH29" i="87"/>
  <c r="AI29" i="87"/>
  <c r="AJ29" i="87"/>
  <c r="AM29" i="87"/>
  <c r="K38" i="87" s="1"/>
  <c r="C3" i="36" s="1"/>
  <c r="AF30" i="87"/>
  <c r="K46" i="87" s="1"/>
  <c r="C10" i="36" s="1"/>
  <c r="AG30" i="87"/>
  <c r="L46" i="87" s="1"/>
  <c r="D10" i="36" s="1"/>
  <c r="AH30" i="87"/>
  <c r="M46" i="87" s="1"/>
  <c r="E10" i="36" s="1"/>
  <c r="AI30" i="87"/>
  <c r="N46" i="87" s="1"/>
  <c r="F10" i="36" s="1"/>
  <c r="AJ30" i="87"/>
  <c r="O46" i="87" s="1"/>
  <c r="G10" i="36" s="1"/>
  <c r="AN30" i="87"/>
  <c r="L45" i="87" s="1"/>
  <c r="D9" i="36" s="1"/>
  <c r="AF31" i="87"/>
  <c r="K53" i="87" s="1"/>
  <c r="C16" i="36" s="1"/>
  <c r="AG31" i="87"/>
  <c r="L53" i="87" s="1"/>
  <c r="D16" i="36" s="1"/>
  <c r="AH31" i="87"/>
  <c r="M53" i="87" s="1"/>
  <c r="E16" i="36" s="1"/>
  <c r="AI31" i="87"/>
  <c r="N53" i="87" s="1"/>
  <c r="F16" i="36" s="1"/>
  <c r="AJ31" i="87"/>
  <c r="O53" i="87" s="1"/>
  <c r="G16" i="36" s="1"/>
  <c r="AO31" i="87"/>
  <c r="AF32" i="87"/>
  <c r="K60" i="87" s="1"/>
  <c r="C22" i="36" s="1"/>
  <c r="AG32" i="87"/>
  <c r="L60" i="87" s="1"/>
  <c r="D22" i="36" s="1"/>
  <c r="AH32" i="87"/>
  <c r="M60" i="87" s="1"/>
  <c r="E22" i="36" s="1"/>
  <c r="AI32" i="87"/>
  <c r="N60" i="87" s="1"/>
  <c r="F22" i="36" s="1"/>
  <c r="AJ32" i="87"/>
  <c r="O60" i="87" s="1"/>
  <c r="G22" i="36" s="1"/>
  <c r="AP32" i="87"/>
  <c r="N59" i="87" s="1"/>
  <c r="F21" i="36" s="1"/>
  <c r="AF33" i="87"/>
  <c r="K67" i="87" s="1"/>
  <c r="C28" i="36" s="1"/>
  <c r="AG33" i="87"/>
  <c r="L67" i="87" s="1"/>
  <c r="D28" i="36" s="1"/>
  <c r="AH33" i="87"/>
  <c r="M67" i="87" s="1"/>
  <c r="E28" i="36" s="1"/>
  <c r="AI33" i="87"/>
  <c r="N67" i="87" s="1"/>
  <c r="F28" i="36" s="1"/>
  <c r="AJ33" i="87"/>
  <c r="O67" i="87" s="1"/>
  <c r="G28" i="36" s="1"/>
  <c r="AQ33" i="87"/>
  <c r="O66" i="87" s="1"/>
  <c r="G27" i="36" s="1"/>
  <c r="L43" i="87"/>
  <c r="M43" i="87"/>
  <c r="N43" i="87"/>
  <c r="O43" i="87"/>
  <c r="K45" i="87"/>
  <c r="C9" i="36" s="1"/>
  <c r="M45" i="87"/>
  <c r="E9" i="36" s="1"/>
  <c r="N45" i="87"/>
  <c r="F9" i="36" s="1"/>
  <c r="O45" i="87"/>
  <c r="G9" i="36" s="1"/>
  <c r="K52" i="87"/>
  <c r="C15" i="36" s="1"/>
  <c r="L52" i="87"/>
  <c r="D15" i="36" s="1"/>
  <c r="M52" i="87"/>
  <c r="E15" i="36" s="1"/>
  <c r="N52" i="87"/>
  <c r="F15" i="36" s="1"/>
  <c r="O52" i="87"/>
  <c r="G15" i="36" s="1"/>
  <c r="K59" i="87"/>
  <c r="C21" i="36" s="1"/>
  <c r="L59" i="87"/>
  <c r="D21" i="36" s="1"/>
  <c r="M59" i="87"/>
  <c r="E21" i="36" s="1"/>
  <c r="O59" i="87"/>
  <c r="G21" i="36" s="1"/>
  <c r="K66" i="87"/>
  <c r="C27" i="36" s="1"/>
  <c r="L66" i="87"/>
  <c r="D27" i="36" s="1"/>
  <c r="M66" i="87"/>
  <c r="E27" i="36" s="1"/>
  <c r="N66" i="87"/>
  <c r="F27" i="36" s="1"/>
  <c r="X29" i="35" l="1" a="1"/>
  <c r="X29" i="35" s="1"/>
  <c r="X16" i="35" a="1"/>
  <c r="X16" i="35" s="1"/>
  <c r="X24" i="35" a="1"/>
  <c r="X24" i="35" s="1"/>
  <c r="T29" i="35" a="1"/>
  <c r="T29" i="35" s="1"/>
  <c r="T16" i="35" a="1"/>
  <c r="T16" i="35" s="1"/>
  <c r="T24" i="35" a="1"/>
  <c r="T24" i="35" s="1"/>
  <c r="U29" i="35" a="1"/>
  <c r="U29" i="35" s="1"/>
  <c r="U16" i="35" a="1"/>
  <c r="U16" i="35" s="1"/>
  <c r="U24" i="35" a="1"/>
  <c r="U24" i="35" s="1"/>
  <c r="W29" i="35" a="1"/>
  <c r="W29" i="35" s="1"/>
  <c r="W24" i="35" a="1"/>
  <c r="W24" i="35" s="1"/>
  <c r="W16" i="35" a="1"/>
  <c r="W16" i="35" s="1"/>
  <c r="V29" i="35" a="1"/>
  <c r="V29" i="35" s="1"/>
  <c r="V16" i="35" a="1"/>
  <c r="V16" i="35" s="1"/>
  <c r="V24" i="35" a="1"/>
  <c r="V24" i="35" s="1"/>
  <c r="AC17" i="35" a="1"/>
  <c r="AC17" i="35" s="1"/>
  <c r="AC20" i="35" a="1"/>
  <c r="AC20" i="35" s="1"/>
  <c r="AC34" i="35" a="1"/>
  <c r="AC34" i="35" s="1"/>
  <c r="AC25" i="35" a="1"/>
  <c r="AC25" i="35" s="1"/>
  <c r="AC30" i="35" a="1"/>
  <c r="AC30" i="35" s="1"/>
  <c r="AB17" i="35" a="1"/>
  <c r="AB17" i="35" s="1"/>
  <c r="AB20" i="35" a="1"/>
  <c r="AB20" i="35" s="1"/>
  <c r="AB34" i="35" a="1"/>
  <c r="AB34" i="35" s="1"/>
  <c r="AB30" i="35" a="1"/>
  <c r="AB30" i="35" s="1"/>
  <c r="AB25" i="35" a="1"/>
  <c r="AB25" i="35" s="1"/>
  <c r="AA20" i="35" a="1"/>
  <c r="AA20" i="35" s="1"/>
  <c r="AA34" i="35" a="1"/>
  <c r="AA34" i="35" s="1"/>
  <c r="AA17" i="35" a="1"/>
  <c r="AA17" i="35" s="1"/>
  <c r="AA25" i="35" a="1"/>
  <c r="AA25" i="35" s="1"/>
  <c r="AA30" i="35" a="1"/>
  <c r="AA30" i="35" s="1"/>
  <c r="Y34" i="35" a="1"/>
  <c r="Y34" i="35" s="1"/>
  <c r="Y17" i="35" a="1"/>
  <c r="Y17" i="35" s="1"/>
  <c r="Y20" i="35" a="1"/>
  <c r="Y20" i="35" s="1"/>
  <c r="Y25" i="35" a="1"/>
  <c r="Y25" i="35" s="1"/>
  <c r="Y30" i="35" a="1"/>
  <c r="Y30" i="35" s="1"/>
  <c r="Z20" i="35" a="1"/>
  <c r="Z20" i="35" s="1"/>
  <c r="Z34" i="35" a="1"/>
  <c r="Z34" i="35" s="1"/>
  <c r="Z17" i="35" a="1"/>
  <c r="Z17" i="35" s="1"/>
  <c r="Z25" i="35" a="1"/>
  <c r="Z25" i="35" s="1"/>
  <c r="Z30" i="35" a="1"/>
  <c r="Z30" i="35" s="1"/>
  <c r="X17" i="35" a="1"/>
  <c r="X17" i="35" s="1"/>
  <c r="X20" i="35" a="1"/>
  <c r="X20" i="35" s="1"/>
  <c r="X34" i="35" a="1"/>
  <c r="X34" i="35" s="1"/>
  <c r="X25" i="35" a="1"/>
  <c r="X25" i="35" s="1"/>
  <c r="X30" i="35" a="1"/>
  <c r="X30" i="35" s="1"/>
  <c r="W17" i="35" a="1"/>
  <c r="W17" i="35" s="1"/>
  <c r="W34" i="35" a="1"/>
  <c r="W34" i="35" s="1"/>
  <c r="W20" i="35" a="1"/>
  <c r="W20" i="35" s="1"/>
  <c r="W30" i="35" a="1"/>
  <c r="W30" i="35" s="1"/>
  <c r="W25" i="35" a="1"/>
  <c r="W25" i="35" s="1"/>
  <c r="V20" i="35" a="1"/>
  <c r="V20" i="35" s="1"/>
  <c r="V17" i="35" a="1"/>
  <c r="V17" i="35" s="1"/>
  <c r="V34" i="35" a="1"/>
  <c r="V34" i="35" s="1"/>
  <c r="V25" i="35" a="1"/>
  <c r="V25" i="35" s="1"/>
  <c r="V30" i="35" a="1"/>
  <c r="V30" i="35" s="1"/>
  <c r="T17" i="35" a="1"/>
  <c r="T17" i="35" s="1"/>
  <c r="T34" i="35" a="1"/>
  <c r="T34" i="35" s="1"/>
  <c r="T20" i="35" a="1"/>
  <c r="T20" i="35" s="1"/>
  <c r="T25" i="35" a="1"/>
  <c r="T25" i="35" s="1"/>
  <c r="T30" i="35" a="1"/>
  <c r="T30" i="35" s="1"/>
  <c r="U17" i="35" a="1"/>
  <c r="U17" i="35" s="1"/>
  <c r="U34" i="35" a="1"/>
  <c r="U34" i="35" s="1"/>
  <c r="U20" i="35" a="1"/>
  <c r="U20" i="35" s="1"/>
  <c r="U25" i="35" a="1"/>
  <c r="U25" i="35" s="1"/>
  <c r="U30" i="35" a="1"/>
  <c r="U30" i="35" s="1"/>
  <c r="T17" i="88"/>
  <c r="O11" i="88"/>
  <c r="V18" i="88"/>
  <c r="U18" i="88"/>
  <c r="Z25" i="88"/>
  <c r="Z33" i="88" s="1"/>
  <c r="L68" i="88" s="1"/>
  <c r="I29" i="36" s="1"/>
  <c r="S17" i="88"/>
  <c r="AA21" i="88"/>
  <c r="AA29" i="88" s="1"/>
  <c r="AB24" i="88"/>
  <c r="AB32" i="88" s="1"/>
  <c r="N61" i="88" s="1"/>
  <c r="K23" i="36" s="1"/>
  <c r="AC25" i="88"/>
  <c r="AC33" i="88" s="1"/>
  <c r="O68" i="88" s="1"/>
  <c r="L29" i="36" s="1"/>
  <c r="Y22" i="88"/>
  <c r="Y30" i="88" s="1"/>
  <c r="K47" i="88" s="1"/>
  <c r="H11" i="36" s="1"/>
  <c r="L14" i="88"/>
  <c r="V16" i="87"/>
  <c r="U20" i="87"/>
  <c r="U16" i="87"/>
  <c r="U19" i="87"/>
  <c r="S16" i="87"/>
  <c r="S17" i="87"/>
  <c r="V20" i="87"/>
  <c r="T19" i="87"/>
  <c r="R16" i="87"/>
  <c r="V18" i="87"/>
  <c r="U18" i="87"/>
  <c r="Z25" i="87"/>
  <c r="Z33" i="87" s="1"/>
  <c r="L68" i="87" s="1"/>
  <c r="D29" i="36" s="1"/>
  <c r="AC22" i="87"/>
  <c r="AC30" i="87" s="1"/>
  <c r="O47" i="87" s="1"/>
  <c r="G11" i="36" s="1"/>
  <c r="M11" i="87"/>
  <c r="K13" i="87"/>
  <c r="N14" i="87"/>
  <c r="K12" i="87"/>
  <c r="N13" i="87"/>
  <c r="L15" i="87"/>
  <c r="L12" i="87"/>
  <c r="O13" i="87"/>
  <c r="M15" i="87"/>
  <c r="K11" i="87"/>
  <c r="M13" i="87"/>
  <c r="N11" i="87"/>
  <c r="L14" i="87"/>
  <c r="AC24" i="87"/>
  <c r="AC32" i="87" s="1"/>
  <c r="O61" i="87" s="1"/>
  <c r="G23" i="36" s="1"/>
  <c r="K14" i="87"/>
  <c r="T16" i="87"/>
  <c r="R17" i="87"/>
  <c r="V19" i="87"/>
  <c r="T20" i="87"/>
  <c r="V17" i="87"/>
  <c r="T18" i="87"/>
  <c r="R19" i="87"/>
  <c r="R18" i="87"/>
  <c r="S19" i="87"/>
  <c r="S20" i="87"/>
  <c r="L13" i="87"/>
  <c r="AA21" i="87"/>
  <c r="AA29" i="87" s="1"/>
  <c r="Z22" i="87"/>
  <c r="Z30" i="87" s="1"/>
  <c r="L47" i="87" s="1"/>
  <c r="D11" i="36" s="1"/>
  <c r="AA23" i="87"/>
  <c r="AA31" i="87" s="1"/>
  <c r="M54" i="87" s="1"/>
  <c r="E17" i="36" s="1"/>
  <c r="AB24" i="87"/>
  <c r="AB32" i="87" s="1"/>
  <c r="N61" i="87" s="1"/>
  <c r="F23" i="36" s="1"/>
  <c r="AC25" i="87"/>
  <c r="AC33" i="87" s="1"/>
  <c r="O68" i="87" s="1"/>
  <c r="G29" i="36" s="1"/>
  <c r="AC21" i="87"/>
  <c r="AC29" i="87" s="1"/>
  <c r="AB22" i="87"/>
  <c r="AB30" i="87" s="1"/>
  <c r="N47" i="87" s="1"/>
  <c r="F11" i="36" s="1"/>
  <c r="AC23" i="87"/>
  <c r="AC31" i="87" s="1"/>
  <c r="O54" i="87" s="1"/>
  <c r="G17" i="36" s="1"/>
  <c r="M14" i="87"/>
  <c r="Y25" i="87"/>
  <c r="Y33" i="87" s="1"/>
  <c r="K68" i="87" s="1"/>
  <c r="C29" i="36" s="1"/>
  <c r="AA22" i="87"/>
  <c r="AA30" i="87" s="1"/>
  <c r="M47" i="87" s="1"/>
  <c r="E11" i="36" s="1"/>
  <c r="AA24" i="87"/>
  <c r="AA32" i="87" s="1"/>
  <c r="M61" i="87" s="1"/>
  <c r="E23" i="36" s="1"/>
  <c r="U17" i="87"/>
  <c r="Z24" i="87"/>
  <c r="Z32" i="87" s="1"/>
  <c r="L61" i="87" s="1"/>
  <c r="D23" i="36" s="1"/>
  <c r="R20" i="87"/>
  <c r="T17" i="87"/>
  <c r="O12" i="87"/>
  <c r="Y24" i="87"/>
  <c r="Y32" i="87" s="1"/>
  <c r="K61" i="87" s="1"/>
  <c r="C23" i="36" s="1"/>
  <c r="O15" i="87"/>
  <c r="N12" i="87"/>
  <c r="AB23" i="87"/>
  <c r="AB31" i="87" s="1"/>
  <c r="N54" i="87" s="1"/>
  <c r="F17" i="36" s="1"/>
  <c r="AB21" i="87"/>
  <c r="AB29" i="87" s="1"/>
  <c r="N15" i="87"/>
  <c r="M12" i="87"/>
  <c r="Z23" i="87"/>
  <c r="Z31" i="87" s="1"/>
  <c r="L54" i="87" s="1"/>
  <c r="D17" i="36" s="1"/>
  <c r="Z21" i="87"/>
  <c r="Z29" i="87" s="1"/>
  <c r="O11" i="87"/>
  <c r="AB25" i="87"/>
  <c r="AB33" i="87" s="1"/>
  <c r="N68" i="87" s="1"/>
  <c r="F29" i="36" s="1"/>
  <c r="K15" i="87"/>
  <c r="AA25" i="87"/>
  <c r="AA33" i="87" s="1"/>
  <c r="M68" i="87" s="1"/>
  <c r="E29" i="36" s="1"/>
  <c r="Y23" i="87"/>
  <c r="Y31" i="87" s="1"/>
  <c r="K54" i="87" s="1"/>
  <c r="C17" i="36" s="1"/>
  <c r="Y21" i="87"/>
  <c r="Y29" i="87" s="1"/>
  <c r="K40" i="87" s="1"/>
  <c r="C5" i="36" s="1"/>
  <c r="O14" i="87"/>
  <c r="L11" i="87"/>
  <c r="AB25" i="88"/>
  <c r="AB33" i="88" s="1"/>
  <c r="N68" i="88" s="1"/>
  <c r="K29" i="36" s="1"/>
  <c r="S18" i="88"/>
  <c r="K14" i="88"/>
  <c r="N11" i="88"/>
  <c r="Y21" i="88"/>
  <c r="Y29" i="88" s="1"/>
  <c r="K40" i="88" s="1"/>
  <c r="H5" i="36" s="1"/>
  <c r="Y23" i="88"/>
  <c r="Y31" i="88" s="1"/>
  <c r="K54" i="88" s="1"/>
  <c r="H17" i="36" s="1"/>
  <c r="Z24" i="88"/>
  <c r="Z32" i="88" s="1"/>
  <c r="L61" i="88" s="1"/>
  <c r="I23" i="36" s="1"/>
  <c r="AA25" i="88"/>
  <c r="AA33" i="88" s="1"/>
  <c r="M68" i="88" s="1"/>
  <c r="J29" i="36" s="1"/>
  <c r="AB21" i="88"/>
  <c r="AB29" i="88" s="1"/>
  <c r="AA22" i="88"/>
  <c r="AA30" i="88" s="1"/>
  <c r="M47" i="88" s="1"/>
  <c r="J11" i="36" s="1"/>
  <c r="AB23" i="88"/>
  <c r="AB31" i="88" s="1"/>
  <c r="N54" i="88" s="1"/>
  <c r="K17" i="36" s="1"/>
  <c r="AC24" i="88"/>
  <c r="AC32" i="88" s="1"/>
  <c r="O61" i="88" s="1"/>
  <c r="L23" i="36" s="1"/>
  <c r="AC21" i="88"/>
  <c r="AC29" i="88" s="1"/>
  <c r="AB22" i="88"/>
  <c r="AB30" i="88" s="1"/>
  <c r="N47" i="88" s="1"/>
  <c r="K11" i="36" s="1"/>
  <c r="AC23" i="88"/>
  <c r="AC31" i="88" s="1"/>
  <c r="O54" i="88" s="1"/>
  <c r="L17" i="36" s="1"/>
  <c r="T19" i="88"/>
  <c r="R18" i="88"/>
  <c r="N13" i="88"/>
  <c r="L12" i="88"/>
  <c r="O13" i="88"/>
  <c r="M15" i="88"/>
  <c r="L11" i="88"/>
  <c r="O12" i="88"/>
  <c r="M14" i="88"/>
  <c r="M11" i="88"/>
  <c r="K13" i="88"/>
  <c r="N14" i="88"/>
  <c r="Y25" i="88"/>
  <c r="Y33" i="88" s="1"/>
  <c r="K68" i="88" s="1"/>
  <c r="H29" i="36" s="1"/>
  <c r="AA24" i="88"/>
  <c r="AA32" i="88" s="1"/>
  <c r="M61" i="88" s="1"/>
  <c r="J23" i="36" s="1"/>
  <c r="V20" i="88"/>
  <c r="S19" i="88"/>
  <c r="O15" i="88"/>
  <c r="M13" i="88"/>
  <c r="Y24" i="88"/>
  <c r="Y32" i="88" s="1"/>
  <c r="K61" i="88" s="1"/>
  <c r="H23" i="36" s="1"/>
  <c r="AA23" i="88"/>
  <c r="AA31" i="88" s="1"/>
  <c r="M54" i="88" s="1"/>
  <c r="J17" i="36" s="1"/>
  <c r="U20" i="88"/>
  <c r="V16" i="88"/>
  <c r="N15" i="88"/>
  <c r="L13" i="88"/>
  <c r="Z23" i="88"/>
  <c r="Z31" i="88" s="1"/>
  <c r="L54" i="88" s="1"/>
  <c r="I17" i="36" s="1"/>
  <c r="AC22" i="88"/>
  <c r="AC30" i="88" s="1"/>
  <c r="O47" i="88" s="1"/>
  <c r="L11" i="36" s="1"/>
  <c r="R20" i="88"/>
  <c r="U16" i="88"/>
  <c r="L15" i="88"/>
  <c r="N12" i="88"/>
  <c r="Z22" i="88"/>
  <c r="Z30" i="88" s="1"/>
  <c r="L47" i="88" s="1"/>
  <c r="I11" i="36" s="1"/>
  <c r="U17" i="88"/>
  <c r="K15" i="88"/>
  <c r="M12" i="88"/>
  <c r="V17" i="88"/>
  <c r="T18" i="88"/>
  <c r="R19" i="88"/>
  <c r="S16" i="88"/>
  <c r="U19" i="88"/>
  <c r="S20" i="88"/>
  <c r="T16" i="88"/>
  <c r="R17" i="88"/>
  <c r="V19" i="88"/>
  <c r="T20" i="88"/>
  <c r="O14" i="88"/>
  <c r="K12" i="88"/>
  <c r="AC26" i="35" l="1" a="1"/>
  <c r="AC26" i="35" s="1"/>
  <c r="AC21" i="35" a="1"/>
  <c r="AC21" i="35" s="1"/>
  <c r="AC35" i="35" a="1"/>
  <c r="AC35" i="35" s="1"/>
  <c r="AC31" i="35" a="1"/>
  <c r="AC31" i="35" s="1"/>
  <c r="AC18" i="35" a="1"/>
  <c r="AC18" i="35" s="1"/>
  <c r="AA35" i="35" a="1"/>
  <c r="AA35" i="35" s="1"/>
  <c r="AA21" i="35" a="1"/>
  <c r="AA21" i="35" s="1"/>
  <c r="AA26" i="35" a="1"/>
  <c r="AA26" i="35" s="1"/>
  <c r="AA31" i="35" a="1"/>
  <c r="AA31" i="35" s="1"/>
  <c r="AA18" i="35" a="1"/>
  <c r="AA18" i="35" s="1"/>
  <c r="Z21" i="35" a="1"/>
  <c r="Z21" i="35" s="1"/>
  <c r="Z35" i="35" a="1"/>
  <c r="Z35" i="35" s="1"/>
  <c r="Z26" i="35" a="1"/>
  <c r="Z26" i="35" s="1"/>
  <c r="Z18" i="35" a="1"/>
  <c r="Z18" i="35" s="1"/>
  <c r="Z31" i="35" a="1"/>
  <c r="Z31" i="35" s="1"/>
  <c r="AB26" i="35" a="1"/>
  <c r="AB26" i="35" s="1"/>
  <c r="AB35" i="35" a="1"/>
  <c r="AB35" i="35" s="1"/>
  <c r="AB21" i="35" a="1"/>
  <c r="AB21" i="35" s="1"/>
  <c r="AB18" i="35" a="1"/>
  <c r="AB18" i="35" s="1"/>
  <c r="AB31" i="35" a="1"/>
  <c r="AB31" i="35" s="1"/>
  <c r="Y21" i="35" a="1"/>
  <c r="Y21" i="35" s="1"/>
  <c r="Y26" i="35" a="1"/>
  <c r="Y26" i="35" s="1"/>
  <c r="Y35" i="35" a="1"/>
  <c r="Y35" i="35" s="1"/>
  <c r="Y18" i="35" a="1"/>
  <c r="Y18" i="35" s="1"/>
  <c r="Y31" i="35" a="1"/>
  <c r="Y31" i="35" s="1"/>
  <c r="V21" i="35" a="1"/>
  <c r="V21" i="35" s="1"/>
  <c r="V35" i="35" a="1"/>
  <c r="V35" i="35" s="1"/>
  <c r="V26" i="35" a="1"/>
  <c r="V26" i="35" s="1"/>
  <c r="V18" i="35" a="1"/>
  <c r="V18" i="35" s="1"/>
  <c r="V31" i="35" a="1"/>
  <c r="V31" i="35" s="1"/>
  <c r="U26" i="35" a="1"/>
  <c r="U26" i="35" s="1"/>
  <c r="U21" i="35" a="1"/>
  <c r="U21" i="35" s="1"/>
  <c r="U35" i="35" a="1"/>
  <c r="U35" i="35" s="1"/>
  <c r="U31" i="35" a="1"/>
  <c r="U31" i="35" s="1"/>
  <c r="U18" i="35" a="1"/>
  <c r="U18" i="35" s="1"/>
  <c r="T26" i="35" a="1"/>
  <c r="T26" i="35" s="1"/>
  <c r="T35" i="35" a="1"/>
  <c r="T35" i="35" s="1"/>
  <c r="T21" i="35" a="1"/>
  <c r="T21" i="35" s="1"/>
  <c r="T31" i="35" a="1"/>
  <c r="T31" i="35" s="1"/>
  <c r="T18" i="35" a="1"/>
  <c r="T18" i="35" s="1"/>
  <c r="W35" i="35" a="1"/>
  <c r="W35" i="35" s="1"/>
  <c r="W21" i="35" a="1"/>
  <c r="W21" i="35" s="1"/>
  <c r="W26" i="35" a="1"/>
  <c r="W26" i="35" s="1"/>
  <c r="W31" i="35" a="1"/>
  <c r="W31" i="35" s="1"/>
  <c r="W18" i="35" a="1"/>
  <c r="W18" i="35" s="1"/>
  <c r="X26" i="35" a="1"/>
  <c r="X26" i="35" s="1"/>
  <c r="X21" i="35" a="1"/>
  <c r="X21" i="35" s="1"/>
  <c r="X35" i="35" a="1"/>
  <c r="X35" i="35" s="1"/>
  <c r="X18" i="35" a="1"/>
  <c r="X18" i="35" s="1"/>
  <c r="X31" i="35" a="1"/>
  <c r="X31" i="35" s="1"/>
  <c r="R21" i="88" a="1"/>
  <c r="R21" i="88" s="1"/>
  <c r="R29" i="88" s="1"/>
  <c r="K41" i="88" s="1"/>
  <c r="H6" i="36" s="1"/>
  <c r="K16" i="88" a="1"/>
  <c r="K19" i="88" s="1"/>
  <c r="R21" i="87" a="1"/>
  <c r="R23" i="87" s="1"/>
  <c r="R31" i="87" s="1"/>
  <c r="K55" i="87" s="1"/>
  <c r="C18" i="36" s="1"/>
  <c r="K16" i="87" a="1"/>
  <c r="K18" i="88" l="1"/>
  <c r="O20" i="88"/>
  <c r="M19" i="88"/>
  <c r="S21" i="88"/>
  <c r="S29" i="88" s="1"/>
  <c r="S22" i="88"/>
  <c r="S30" i="88" s="1"/>
  <c r="L48" i="88" s="1"/>
  <c r="I12" i="36" s="1"/>
  <c r="L17" i="88"/>
  <c r="V22" i="88"/>
  <c r="V30" i="88" s="1"/>
  <c r="O48" i="88" s="1"/>
  <c r="L12" i="36" s="1"/>
  <c r="K16" i="88"/>
  <c r="U25" i="88"/>
  <c r="U33" i="88" s="1"/>
  <c r="N69" i="88" s="1"/>
  <c r="K30" i="36" s="1"/>
  <c r="U23" i="88"/>
  <c r="U31" i="88" s="1"/>
  <c r="N55" i="88" s="1"/>
  <c r="K18" i="36" s="1"/>
  <c r="L20" i="88"/>
  <c r="V25" i="88"/>
  <c r="V33" i="88" s="1"/>
  <c r="O69" i="88" s="1"/>
  <c r="L30" i="36" s="1"/>
  <c r="M16" i="88"/>
  <c r="M17" i="88"/>
  <c r="O17" i="88"/>
  <c r="S24" i="88"/>
  <c r="S32" i="88" s="1"/>
  <c r="L62" i="88" s="1"/>
  <c r="I24" i="36" s="1"/>
  <c r="S23" i="88"/>
  <c r="S31" i="88" s="1"/>
  <c r="L55" i="88" s="1"/>
  <c r="I18" i="36" s="1"/>
  <c r="N19" i="88"/>
  <c r="T22" i="88"/>
  <c r="T30" i="88" s="1"/>
  <c r="M48" i="88" s="1"/>
  <c r="J12" i="36" s="1"/>
  <c r="R23" i="88"/>
  <c r="R31" i="88" s="1"/>
  <c r="K55" i="88" s="1"/>
  <c r="H18" i="36" s="1"/>
  <c r="N17" i="88"/>
  <c r="T21" i="88"/>
  <c r="T29" i="88" s="1"/>
  <c r="M18" i="88"/>
  <c r="T25" i="88"/>
  <c r="T33" i="88" s="1"/>
  <c r="M69" i="88" s="1"/>
  <c r="J30" i="36" s="1"/>
  <c r="T24" i="88"/>
  <c r="T32" i="88" s="1"/>
  <c r="M62" i="88" s="1"/>
  <c r="J24" i="36" s="1"/>
  <c r="L16" i="88"/>
  <c r="O19" i="88"/>
  <c r="N20" i="88"/>
  <c r="R24" i="88"/>
  <c r="R32" i="88" s="1"/>
  <c r="K62" i="88" s="1"/>
  <c r="H24" i="36" s="1"/>
  <c r="R22" i="88"/>
  <c r="R30" i="88" s="1"/>
  <c r="K48" i="88" s="1"/>
  <c r="H12" i="36" s="1"/>
  <c r="Y32" i="35" s="1" a="1"/>
  <c r="Y32" i="35" s="1"/>
  <c r="R25" i="87"/>
  <c r="R33" i="87" s="1"/>
  <c r="K69" i="87" s="1"/>
  <c r="C30" i="36" s="1"/>
  <c r="S22" i="87"/>
  <c r="S30" i="87" s="1"/>
  <c r="L48" i="87" s="1"/>
  <c r="D12" i="36" s="1"/>
  <c r="U21" i="87"/>
  <c r="U29" i="87" s="1"/>
  <c r="T21" i="87"/>
  <c r="T29" i="87" s="1"/>
  <c r="V25" i="87"/>
  <c r="V33" i="87" s="1"/>
  <c r="O69" i="87" s="1"/>
  <c r="G30" i="36" s="1"/>
  <c r="U24" i="87"/>
  <c r="U32" i="87" s="1"/>
  <c r="N62" i="87" s="1"/>
  <c r="F24" i="36" s="1"/>
  <c r="S25" i="87"/>
  <c r="S33" i="87" s="1"/>
  <c r="L69" i="87" s="1"/>
  <c r="D30" i="36" s="1"/>
  <c r="U22" i="87"/>
  <c r="U30" i="87" s="1"/>
  <c r="N48" i="87" s="1"/>
  <c r="F12" i="36" s="1"/>
  <c r="R24" i="87"/>
  <c r="R32" i="87" s="1"/>
  <c r="K62" i="87" s="1"/>
  <c r="C24" i="36" s="1"/>
  <c r="N16" i="88"/>
  <c r="O18" i="88"/>
  <c r="L19" i="88"/>
  <c r="O16" i="88"/>
  <c r="S25" i="88"/>
  <c r="S33" i="88" s="1"/>
  <c r="L69" i="88" s="1"/>
  <c r="I30" i="36" s="1"/>
  <c r="U24" i="88"/>
  <c r="U32" i="88" s="1"/>
  <c r="N62" i="88" s="1"/>
  <c r="K24" i="36" s="1"/>
  <c r="R25" i="88"/>
  <c r="R33" i="88" s="1"/>
  <c r="K69" i="88" s="1"/>
  <c r="H30" i="36" s="1"/>
  <c r="M20" i="88"/>
  <c r="K17" i="88"/>
  <c r="N18" i="88"/>
  <c r="U22" i="88"/>
  <c r="U30" i="88" s="1"/>
  <c r="N48" i="88" s="1"/>
  <c r="K12" i="36" s="1"/>
  <c r="V24" i="88"/>
  <c r="V32" i="88" s="1"/>
  <c r="O62" i="88" s="1"/>
  <c r="L24" i="36" s="1"/>
  <c r="T23" i="88"/>
  <c r="T31" i="88" s="1"/>
  <c r="M55" i="88" s="1"/>
  <c r="J18" i="36" s="1"/>
  <c r="V21" i="88"/>
  <c r="V29" i="88" s="1"/>
  <c r="K20" i="88"/>
  <c r="L18" i="88"/>
  <c r="U21" i="88"/>
  <c r="U29" i="88" s="1"/>
  <c r="V23" i="88"/>
  <c r="V31" i="88" s="1"/>
  <c r="O55" i="88" s="1"/>
  <c r="L18" i="36" s="1"/>
  <c r="V24" i="87"/>
  <c r="V32" i="87" s="1"/>
  <c r="O62" i="87" s="1"/>
  <c r="G24" i="36" s="1"/>
  <c r="V23" i="87"/>
  <c r="V31" i="87" s="1"/>
  <c r="O55" i="87" s="1"/>
  <c r="G18" i="36" s="1"/>
  <c r="T23" i="87"/>
  <c r="T31" i="87" s="1"/>
  <c r="M55" i="87" s="1"/>
  <c r="E18" i="36" s="1"/>
  <c r="T22" i="87"/>
  <c r="T30" i="87" s="1"/>
  <c r="M48" i="87" s="1"/>
  <c r="E12" i="36" s="1"/>
  <c r="U23" i="87"/>
  <c r="U31" i="87" s="1"/>
  <c r="N55" i="87" s="1"/>
  <c r="F18" i="36" s="1"/>
  <c r="R21" i="87"/>
  <c r="R29" i="87" s="1"/>
  <c r="K41" i="87" s="1"/>
  <c r="C6" i="36" s="1"/>
  <c r="T24" i="87"/>
  <c r="T32" i="87" s="1"/>
  <c r="M62" i="87" s="1"/>
  <c r="E24" i="36" s="1"/>
  <c r="S21" i="87"/>
  <c r="S29" i="87" s="1"/>
  <c r="T25" i="87"/>
  <c r="T33" i="87" s="1"/>
  <c r="M69" i="87" s="1"/>
  <c r="E30" i="36" s="1"/>
  <c r="R22" i="87"/>
  <c r="R30" i="87" s="1"/>
  <c r="K48" i="87" s="1"/>
  <c r="C12" i="36" s="1"/>
  <c r="U25" i="87"/>
  <c r="U33" i="87" s="1"/>
  <c r="N69" i="87" s="1"/>
  <c r="F30" i="36" s="1"/>
  <c r="S24" i="87"/>
  <c r="S32" i="87" s="1"/>
  <c r="L62" i="87" s="1"/>
  <c r="D24" i="36" s="1"/>
  <c r="V22" i="87"/>
  <c r="V30" i="87" s="1"/>
  <c r="O48" i="87" s="1"/>
  <c r="G12" i="36" s="1"/>
  <c r="V21" i="87"/>
  <c r="V29" i="87" s="1"/>
  <c r="S23" i="87"/>
  <c r="S31" i="87" s="1"/>
  <c r="L55" i="87" s="1"/>
  <c r="D18" i="36" s="1"/>
  <c r="K16" i="87"/>
  <c r="N18" i="87"/>
  <c r="L19" i="87"/>
  <c r="N16" i="87"/>
  <c r="K17" i="87"/>
  <c r="O16" i="87"/>
  <c r="L17" i="87"/>
  <c r="N20" i="87"/>
  <c r="M17" i="87"/>
  <c r="M18" i="87"/>
  <c r="N19" i="87"/>
  <c r="O20" i="87"/>
  <c r="M16" i="87"/>
  <c r="O17" i="87"/>
  <c r="O18" i="87"/>
  <c r="K20" i="87"/>
  <c r="N17" i="87"/>
  <c r="L20" i="87"/>
  <c r="M20" i="87"/>
  <c r="L16" i="87"/>
  <c r="K19" i="87"/>
  <c r="L18" i="87"/>
  <c r="M19" i="87"/>
  <c r="K18" i="87"/>
  <c r="O19" i="87"/>
  <c r="AB14" i="35" l="1" a="1"/>
  <c r="AB14" i="35" s="1"/>
  <c r="AB36" i="35" a="1"/>
  <c r="AB36" i="35" s="1"/>
  <c r="AB22" i="35" a="1"/>
  <c r="AB22" i="35" s="1"/>
  <c r="AB32" i="35" a="1"/>
  <c r="AB32" i="35" s="1"/>
  <c r="AB19" i="35" a="1"/>
  <c r="AB19" i="35" s="1"/>
  <c r="AB27" i="35" a="1"/>
  <c r="AB27" i="35" s="1"/>
  <c r="Y27" i="35" a="1"/>
  <c r="Y27" i="35" s="1"/>
  <c r="AC32" i="35" a="1"/>
  <c r="AC32" i="35" s="1"/>
  <c r="AC14" i="35" a="1"/>
  <c r="AC14" i="35" s="1"/>
  <c r="AC19" i="35" a="1"/>
  <c r="AC19" i="35" s="1"/>
  <c r="AC22" i="35" a="1"/>
  <c r="AC22" i="35" s="1"/>
  <c r="AC36" i="35" a="1"/>
  <c r="AC36" i="35" s="1"/>
  <c r="AC27" i="35" a="1"/>
  <c r="AC27" i="35" s="1"/>
  <c r="Y19" i="35" a="1"/>
  <c r="Y19" i="35" s="1"/>
  <c r="Y36" i="35" a="1"/>
  <c r="Y36" i="35" s="1"/>
  <c r="Z36" i="35" a="1"/>
  <c r="Z36" i="35" s="1"/>
  <c r="Z19" i="35" a="1"/>
  <c r="Z19" i="35" s="1"/>
  <c r="Z32" i="35" a="1"/>
  <c r="Z32" i="35" s="1"/>
  <c r="Z14" i="35" a="1"/>
  <c r="Z14" i="35" s="1"/>
  <c r="Z22" i="35" a="1"/>
  <c r="Z22" i="35" s="1"/>
  <c r="Z27" i="35" a="1"/>
  <c r="Z27" i="35" s="1"/>
  <c r="Y22" i="35" a="1"/>
  <c r="Y22" i="35" s="1"/>
  <c r="Y14" i="35" a="1"/>
  <c r="Y14" i="35" s="1"/>
  <c r="AA36" i="35" a="1"/>
  <c r="AA36" i="35" s="1"/>
  <c r="AA22" i="35" a="1"/>
  <c r="AA22" i="35" s="1"/>
  <c r="AA32" i="35" a="1"/>
  <c r="AA32" i="35" s="1"/>
  <c r="AA19" i="35" a="1"/>
  <c r="AA19" i="35" s="1"/>
  <c r="AA14" i="35" a="1"/>
  <c r="AA14" i="35" s="1"/>
  <c r="AA27" i="35" a="1"/>
  <c r="AA27" i="35" s="1"/>
  <c r="W36" i="35" a="1"/>
  <c r="W36" i="35" s="1"/>
  <c r="W22" i="35" a="1"/>
  <c r="W22" i="35" s="1"/>
  <c r="W14" i="35" a="1"/>
  <c r="W14" i="35" s="1"/>
  <c r="W32" i="35" a="1"/>
  <c r="W32" i="35" s="1"/>
  <c r="W19" i="35" a="1"/>
  <c r="W19" i="35" s="1"/>
  <c r="W27" i="35" a="1"/>
  <c r="W27" i="35" s="1"/>
  <c r="V32" i="35" a="1"/>
  <c r="V32" i="35" s="1"/>
  <c r="V19" i="35" a="1"/>
  <c r="V19" i="35" s="1"/>
  <c r="V22" i="35" a="1"/>
  <c r="V22" i="35" s="1"/>
  <c r="V14" i="35" a="1"/>
  <c r="V14" i="35" s="1"/>
  <c r="V36" i="35" a="1"/>
  <c r="V36" i="35" s="1"/>
  <c r="V27" i="35" a="1"/>
  <c r="V27" i="35" s="1"/>
  <c r="T36" i="35" a="1"/>
  <c r="T36" i="35" s="1"/>
  <c r="T22" i="35" a="1"/>
  <c r="T22" i="35" s="1"/>
  <c r="T14" i="35" a="1"/>
  <c r="T14" i="35" s="1"/>
  <c r="T19" i="35" a="1"/>
  <c r="T19" i="35" s="1"/>
  <c r="T32" i="35" a="1"/>
  <c r="T32" i="35" s="1"/>
  <c r="T27" i="35" a="1"/>
  <c r="T27" i="35" s="1"/>
  <c r="U19" i="35" a="1"/>
  <c r="U19" i="35" s="1"/>
  <c r="U22" i="35" a="1"/>
  <c r="U22" i="35" s="1"/>
  <c r="U32" i="35" a="1"/>
  <c r="U32" i="35" s="1"/>
  <c r="U14" i="35" a="1"/>
  <c r="U14" i="35" s="1"/>
  <c r="U36" i="35" a="1"/>
  <c r="U36" i="35" s="1"/>
  <c r="U27" i="35" a="1"/>
  <c r="U27" i="35" s="1"/>
  <c r="X32" i="35" a="1"/>
  <c r="X32" i="35" s="1"/>
  <c r="X19" i="35" a="1"/>
  <c r="X19" i="35" s="1"/>
  <c r="X36" i="35" a="1"/>
  <c r="X36" i="35" s="1"/>
  <c r="X22" i="35" a="1"/>
  <c r="X22" i="35" s="1"/>
  <c r="X14" i="35" a="1"/>
  <c r="X14" i="35" s="1"/>
  <c r="X27" i="35" a="1"/>
  <c r="X27" i="35" s="1"/>
  <c r="K21" i="88" a="1"/>
  <c r="M21" i="88" s="1"/>
  <c r="M29" i="88" s="1"/>
  <c r="K21" i="87" a="1"/>
  <c r="K21" i="88" l="1"/>
  <c r="K29" i="88" s="1"/>
  <c r="K42" i="88" s="1"/>
  <c r="H7" i="36" s="1"/>
  <c r="K23" i="88"/>
  <c r="K31" i="88" s="1"/>
  <c r="K56" i="88" s="1"/>
  <c r="H19" i="36" s="1"/>
  <c r="L22" i="88"/>
  <c r="L30" i="88" s="1"/>
  <c r="L49" i="88" s="1"/>
  <c r="I13" i="36" s="1"/>
  <c r="N22" i="88"/>
  <c r="N30" i="88" s="1"/>
  <c r="N49" i="88" s="1"/>
  <c r="K13" i="36" s="1"/>
  <c r="O21" i="88"/>
  <c r="O29" i="88" s="1"/>
  <c r="M24" i="88"/>
  <c r="M32" i="88" s="1"/>
  <c r="M63" i="88" s="1"/>
  <c r="J25" i="36" s="1"/>
  <c r="K25" i="88"/>
  <c r="K33" i="88" s="1"/>
  <c r="K70" i="88" s="1"/>
  <c r="H31" i="36" s="1"/>
  <c r="N21" i="88"/>
  <c r="N29" i="88" s="1"/>
  <c r="L24" i="88"/>
  <c r="L32" i="88" s="1"/>
  <c r="L63" i="88" s="1"/>
  <c r="I25" i="36" s="1"/>
  <c r="N23" i="88"/>
  <c r="N31" i="88" s="1"/>
  <c r="N56" i="88" s="1"/>
  <c r="K19" i="36" s="1"/>
  <c r="M23" i="88"/>
  <c r="M31" i="88" s="1"/>
  <c r="M56" i="88" s="1"/>
  <c r="J19" i="36" s="1"/>
  <c r="L21" i="88"/>
  <c r="L29" i="88" s="1"/>
  <c r="M22" i="88"/>
  <c r="M30" i="88" s="1"/>
  <c r="M49" i="88" s="1"/>
  <c r="J13" i="36" s="1"/>
  <c r="L23" i="88"/>
  <c r="L31" i="88" s="1"/>
  <c r="L56" i="88" s="1"/>
  <c r="I19" i="36" s="1"/>
  <c r="N24" i="88"/>
  <c r="N32" i="88" s="1"/>
  <c r="N63" i="88" s="1"/>
  <c r="K25" i="36" s="1"/>
  <c r="L25" i="88"/>
  <c r="L33" i="88" s="1"/>
  <c r="L70" i="88" s="1"/>
  <c r="I31" i="36" s="1"/>
  <c r="K24" i="88"/>
  <c r="K32" i="88" s="1"/>
  <c r="K63" i="88" s="1"/>
  <c r="H25" i="36" s="1"/>
  <c r="K22" i="88"/>
  <c r="K30" i="88" s="1"/>
  <c r="K49" i="88" s="1"/>
  <c r="H13" i="36" s="1"/>
  <c r="O23" i="88"/>
  <c r="O31" i="88" s="1"/>
  <c r="O56" i="88" s="1"/>
  <c r="L19" i="36" s="1"/>
  <c r="O24" i="88"/>
  <c r="O32" i="88" s="1"/>
  <c r="O63" i="88" s="1"/>
  <c r="L25" i="36" s="1"/>
  <c r="O25" i="88"/>
  <c r="O33" i="88" s="1"/>
  <c r="O70" i="88" s="1"/>
  <c r="L31" i="36" s="1"/>
  <c r="M25" i="88"/>
  <c r="M33" i="88" s="1"/>
  <c r="M70" i="88" s="1"/>
  <c r="J31" i="36" s="1"/>
  <c r="O22" i="88"/>
  <c r="O30" i="88" s="1"/>
  <c r="O49" i="88" s="1"/>
  <c r="L13" i="36" s="1"/>
  <c r="N25" i="88"/>
  <c r="N33" i="88" s="1"/>
  <c r="N70" i="88" s="1"/>
  <c r="K31" i="36" s="1"/>
  <c r="K43" i="88"/>
  <c r="K64" i="88"/>
  <c r="O57" i="88"/>
  <c r="L64" i="88"/>
  <c r="O21" i="87"/>
  <c r="O29" i="87" s="1"/>
  <c r="O22" i="87"/>
  <c r="O30" i="87" s="1"/>
  <c r="O49" i="87" s="1"/>
  <c r="G13" i="36" s="1"/>
  <c r="K24" i="87"/>
  <c r="K32" i="87" s="1"/>
  <c r="K63" i="87" s="1"/>
  <c r="C25" i="36" s="1"/>
  <c r="L25" i="87"/>
  <c r="L33" i="87" s="1"/>
  <c r="L70" i="87" s="1"/>
  <c r="D31" i="36" s="1"/>
  <c r="K22" i="87"/>
  <c r="K30" i="87" s="1"/>
  <c r="K49" i="87" s="1"/>
  <c r="C13" i="36" s="1"/>
  <c r="M24" i="87"/>
  <c r="M32" i="87" s="1"/>
  <c r="M63" i="87" s="1"/>
  <c r="E25" i="36" s="1"/>
  <c r="L22" i="87"/>
  <c r="L30" i="87" s="1"/>
  <c r="L49" i="87" s="1"/>
  <c r="D13" i="36" s="1"/>
  <c r="N24" i="87"/>
  <c r="N32" i="87" s="1"/>
  <c r="N63" i="87" s="1"/>
  <c r="F25" i="36" s="1"/>
  <c r="M22" i="87"/>
  <c r="M30" i="87" s="1"/>
  <c r="M49" i="87" s="1"/>
  <c r="E13" i="36" s="1"/>
  <c r="O24" i="87"/>
  <c r="O32" i="87" s="1"/>
  <c r="O63" i="87" s="1"/>
  <c r="G25" i="36" s="1"/>
  <c r="K25" i="87"/>
  <c r="K33" i="87" s="1"/>
  <c r="K70" i="87" s="1"/>
  <c r="C31" i="36" s="1"/>
  <c r="N22" i="87"/>
  <c r="N30" i="87" s="1"/>
  <c r="N49" i="87" s="1"/>
  <c r="F13" i="36" s="1"/>
  <c r="K23" i="87"/>
  <c r="K31" i="87" s="1"/>
  <c r="K56" i="87" s="1"/>
  <c r="C19" i="36" s="1"/>
  <c r="M25" i="87"/>
  <c r="M33" i="87" s="1"/>
  <c r="M70" i="87" s="1"/>
  <c r="E31" i="36" s="1"/>
  <c r="K21" i="87"/>
  <c r="K29" i="87" s="1"/>
  <c r="K42" i="87" s="1"/>
  <c r="C7" i="36" s="1"/>
  <c r="L23" i="87"/>
  <c r="L31" i="87" s="1"/>
  <c r="L56" i="87" s="1"/>
  <c r="D19" i="36" s="1"/>
  <c r="N25" i="87"/>
  <c r="N33" i="87" s="1"/>
  <c r="N70" i="87" s="1"/>
  <c r="F31" i="36" s="1"/>
  <c r="L21" i="87"/>
  <c r="L29" i="87" s="1"/>
  <c r="M23" i="87"/>
  <c r="M31" i="87" s="1"/>
  <c r="M56" i="87" s="1"/>
  <c r="E19" i="36" s="1"/>
  <c r="O25" i="87"/>
  <c r="O33" i="87" s="1"/>
  <c r="O70" i="87" s="1"/>
  <c r="G31" i="36" s="1"/>
  <c r="N23" i="87"/>
  <c r="N31" i="87" s="1"/>
  <c r="N56" i="87" s="1"/>
  <c r="F19" i="36" s="1"/>
  <c r="O23" i="87"/>
  <c r="O31" i="87" s="1"/>
  <c r="O56" i="87" s="1"/>
  <c r="G19" i="36" s="1"/>
  <c r="M21" i="87"/>
  <c r="M29" i="87" s="1"/>
  <c r="N21" i="87"/>
  <c r="N29" i="87" s="1"/>
  <c r="L24" i="87"/>
  <c r="L32" i="87" s="1"/>
  <c r="L63" i="87" s="1"/>
  <c r="D25" i="36" s="1"/>
  <c r="M50" i="88"/>
  <c r="O71" i="88" l="1"/>
  <c r="M57" i="88"/>
  <c r="AB28" i="35" a="1"/>
  <c r="AB28" i="35" s="1"/>
  <c r="AB15" i="35" a="1"/>
  <c r="AB15" i="35" s="1"/>
  <c r="AB23" i="35" a="1"/>
  <c r="AB23" i="35" s="1"/>
  <c r="AB37" i="35" a="1"/>
  <c r="AB37" i="35" s="1"/>
  <c r="AB33" i="35" a="1"/>
  <c r="AB33" i="35" s="1"/>
  <c r="AC28" i="35" a="1"/>
  <c r="AC28" i="35" s="1"/>
  <c r="AC23" i="35" a="1"/>
  <c r="AC23" i="35" s="1"/>
  <c r="AC15" i="35" a="1"/>
  <c r="AC15" i="35" s="1"/>
  <c r="AC33" i="35" a="1"/>
  <c r="AC33" i="35" s="1"/>
  <c r="AC37" i="35" a="1"/>
  <c r="AC37" i="35" s="1"/>
  <c r="AA28" i="35" a="1"/>
  <c r="AA28" i="35" s="1"/>
  <c r="AA23" i="35" a="1"/>
  <c r="AA23" i="35" s="1"/>
  <c r="AA15" i="35" a="1"/>
  <c r="AA15" i="35" s="1"/>
  <c r="AA33" i="35" a="1"/>
  <c r="AA33" i="35" s="1"/>
  <c r="AA37" i="35" a="1"/>
  <c r="AA37" i="35" s="1"/>
  <c r="Z28" i="35" a="1"/>
  <c r="Z28" i="35" s="1"/>
  <c r="Z23" i="35" a="1"/>
  <c r="Z23" i="35" s="1"/>
  <c r="Z15" i="35" a="1"/>
  <c r="Z15" i="35" s="1"/>
  <c r="Z37" i="35" a="1"/>
  <c r="Z37" i="35" s="1"/>
  <c r="Z33" i="35" a="1"/>
  <c r="Z33" i="35" s="1"/>
  <c r="L50" i="88"/>
  <c r="Y28" i="35" a="1"/>
  <c r="Y28" i="35" s="1"/>
  <c r="Y23" i="35" a="1"/>
  <c r="Y23" i="35" s="1"/>
  <c r="Y15" i="35" a="1"/>
  <c r="Y15" i="35" s="1"/>
  <c r="Y33" i="35" a="1"/>
  <c r="Y33" i="35" s="1"/>
  <c r="Y37" i="35" a="1"/>
  <c r="Y37" i="35" s="1"/>
  <c r="V28" i="35" a="1"/>
  <c r="V28" i="35" s="1"/>
  <c r="V15" i="35" a="1"/>
  <c r="V15" i="35" s="1"/>
  <c r="V23" i="35" a="1"/>
  <c r="V23" i="35" s="1"/>
  <c r="V37" i="35" a="1"/>
  <c r="V37" i="35" s="1"/>
  <c r="V33" i="35" a="1"/>
  <c r="V33" i="35" s="1"/>
  <c r="X15" i="35" a="1"/>
  <c r="X15" i="35" s="1"/>
  <c r="X23" i="35" a="1"/>
  <c r="X23" i="35" s="1"/>
  <c r="X28" i="35" a="1"/>
  <c r="X28" i="35" s="1"/>
  <c r="X37" i="35" a="1"/>
  <c r="X37" i="35" s="1"/>
  <c r="X33" i="35" a="1"/>
  <c r="X33" i="35" s="1"/>
  <c r="T15" i="35" a="1"/>
  <c r="T15" i="35" s="1"/>
  <c r="T23" i="35" a="1"/>
  <c r="T23" i="35" s="1"/>
  <c r="T28" i="35" a="1"/>
  <c r="T28" i="35" s="1"/>
  <c r="T37" i="35" a="1"/>
  <c r="T37" i="35" s="1"/>
  <c r="T33" i="35" a="1"/>
  <c r="T33" i="35" s="1"/>
  <c r="U15" i="35" a="1"/>
  <c r="U15" i="35" s="1"/>
  <c r="U28" i="35" a="1"/>
  <c r="U28" i="35" s="1"/>
  <c r="U23" i="35" a="1"/>
  <c r="U23" i="35" s="1"/>
  <c r="U37" i="35" a="1"/>
  <c r="U37" i="35" s="1"/>
  <c r="U33" i="35" a="1"/>
  <c r="U33" i="35" s="1"/>
  <c r="W15" i="35" a="1"/>
  <c r="W15" i="35" s="1"/>
  <c r="W23" i="35" a="1"/>
  <c r="W23" i="35" s="1"/>
  <c r="W28" i="35" a="1"/>
  <c r="W28" i="35" s="1"/>
  <c r="W33" i="35" a="1"/>
  <c r="W33" i="35" s="1"/>
  <c r="W37" i="35" a="1"/>
  <c r="W37" i="35" s="1"/>
  <c r="K71" i="88"/>
  <c r="K57" i="88"/>
  <c r="O64" i="88"/>
  <c r="K50" i="88"/>
  <c r="N57" i="88"/>
  <c r="N50" i="88"/>
  <c r="M64" i="88"/>
  <c r="M71" i="88"/>
  <c r="L57" i="88"/>
  <c r="O50" i="88"/>
  <c r="N71" i="88"/>
  <c r="L71" i="88"/>
  <c r="N64" i="88"/>
  <c r="O64" i="87"/>
  <c r="N71" i="87"/>
  <c r="M50" i="87"/>
  <c r="L57" i="87"/>
  <c r="N64" i="87"/>
  <c r="K43" i="87"/>
  <c r="L50" i="87"/>
  <c r="O50" i="87"/>
  <c r="M64" i="87"/>
  <c r="M71" i="87"/>
  <c r="N57" i="87"/>
  <c r="K57" i="87"/>
  <c r="K50" i="87"/>
  <c r="L64" i="87"/>
  <c r="O71" i="87"/>
  <c r="N50" i="87"/>
  <c r="L71" i="87"/>
  <c r="O57" i="87"/>
  <c r="M57" i="87"/>
  <c r="K71" i="87"/>
  <c r="K64" i="87"/>
  <c r="B17" i="65" l="1"/>
  <c r="B16" i="65"/>
  <c r="B15" i="65"/>
  <c r="B14" i="65"/>
  <c r="B13" i="65"/>
  <c r="B12" i="65"/>
  <c r="B11" i="65"/>
  <c r="B10" i="65"/>
  <c r="B9" i="65"/>
  <c r="B8" i="65"/>
  <c r="B7" i="65"/>
  <c r="E55" i="23" l="1"/>
  <c r="I20" i="31" l="1"/>
  <c r="H20" i="31"/>
  <c r="G20" i="31"/>
  <c r="I19" i="31"/>
  <c r="H19" i="31"/>
  <c r="G19" i="31"/>
  <c r="I18" i="31"/>
  <c r="H18" i="31"/>
  <c r="G18" i="31"/>
  <c r="I17" i="31"/>
  <c r="H17" i="31"/>
  <c r="G17" i="31"/>
  <c r="I16" i="31"/>
  <c r="H16" i="31"/>
  <c r="G16" i="31"/>
  <c r="I15" i="31"/>
  <c r="H15" i="31"/>
  <c r="G15" i="31"/>
  <c r="I14" i="31"/>
  <c r="H14" i="31"/>
  <c r="G14" i="31"/>
  <c r="I13" i="31"/>
  <c r="H13" i="31"/>
  <c r="G13" i="31"/>
  <c r="I12" i="31"/>
  <c r="H12" i="31"/>
  <c r="G12" i="31"/>
  <c r="I11" i="31"/>
  <c r="H11" i="31"/>
  <c r="G11" i="31"/>
  <c r="I10" i="31"/>
  <c r="H10" i="31"/>
  <c r="G10" i="31"/>
  <c r="EJ15" i="81" l="1"/>
  <c r="EJ11" i="81" l="1"/>
  <c r="N4" i="36" l="1"/>
  <c r="N5" i="36"/>
  <c r="N6" i="36"/>
  <c r="N7" i="36"/>
  <c r="N3" i="36"/>
  <c r="N5" i="70"/>
  <c r="AD19" i="35" l="1"/>
  <c r="BD19" i="35" s="1"/>
  <c r="BG19" i="35" s="1"/>
  <c r="AD27" i="35"/>
  <c r="BD27" i="35" s="1"/>
  <c r="BG27" i="35" s="1"/>
  <c r="AD35" i="35"/>
  <c r="BD35" i="35" s="1"/>
  <c r="BG35" i="35" s="1"/>
  <c r="AD20" i="35"/>
  <c r="BD20" i="35" s="1"/>
  <c r="BG20" i="35" s="1"/>
  <c r="AD28" i="35"/>
  <c r="BD28" i="35" s="1"/>
  <c r="BG28" i="35" s="1"/>
  <c r="AD36" i="35"/>
  <c r="BD36" i="35" s="1"/>
  <c r="BG36" i="35" s="1"/>
  <c r="AD21" i="35"/>
  <c r="BD21" i="35" s="1"/>
  <c r="BG21" i="35" s="1"/>
  <c r="AD29" i="35"/>
  <c r="BD29" i="35" s="1"/>
  <c r="BG29" i="35" s="1"/>
  <c r="AD37" i="35"/>
  <c r="BD37" i="35" s="1"/>
  <c r="BG37" i="35" s="1"/>
  <c r="AD14" i="35"/>
  <c r="BD14" i="35" s="1"/>
  <c r="BG14" i="35" s="1"/>
  <c r="AD22" i="35"/>
  <c r="BD22" i="35" s="1"/>
  <c r="BG22" i="35" s="1"/>
  <c r="AD30" i="35"/>
  <c r="BD30" i="35" s="1"/>
  <c r="BG30" i="35" s="1"/>
  <c r="AD15" i="35"/>
  <c r="BD15" i="35" s="1"/>
  <c r="BG15" i="35" s="1"/>
  <c r="AD23" i="35"/>
  <c r="BD23" i="35" s="1"/>
  <c r="BG23" i="35" s="1"/>
  <c r="AD31" i="35"/>
  <c r="BD31" i="35" s="1"/>
  <c r="BG31" i="35" s="1"/>
  <c r="AD16" i="35"/>
  <c r="BD16" i="35" s="1"/>
  <c r="BG16" i="35" s="1"/>
  <c r="AD24" i="35"/>
  <c r="BD24" i="35" s="1"/>
  <c r="BG24" i="35" s="1"/>
  <c r="AD32" i="35"/>
  <c r="BD32" i="35" s="1"/>
  <c r="BG32" i="35" s="1"/>
  <c r="AD17" i="35"/>
  <c r="BD17" i="35" s="1"/>
  <c r="BG17" i="35" s="1"/>
  <c r="AD25" i="35"/>
  <c r="BD25" i="35" s="1"/>
  <c r="BG25" i="35" s="1"/>
  <c r="AD33" i="35"/>
  <c r="BD33" i="35" s="1"/>
  <c r="BG33" i="35" s="1"/>
  <c r="AD18" i="35"/>
  <c r="BD18" i="35" s="1"/>
  <c r="BG18" i="35" s="1"/>
  <c r="AD26" i="35"/>
  <c r="BD26" i="35" s="1"/>
  <c r="BG26" i="35" s="1"/>
  <c r="AD34" i="35"/>
  <c r="BD34" i="35" s="1"/>
  <c r="BG34" i="35" s="1"/>
  <c r="B16" i="9"/>
  <c r="C16" i="9"/>
  <c r="B19" i="33"/>
  <c r="C19" i="33"/>
  <c r="B15" i="13" s="1"/>
  <c r="D19" i="33"/>
  <c r="C15" i="14" s="1"/>
  <c r="J18" i="31" l="1"/>
  <c r="B15" i="14"/>
  <c r="A15" i="14"/>
  <c r="M19" i="33"/>
  <c r="L19" i="33"/>
  <c r="K19" i="33"/>
  <c r="A15" i="13"/>
  <c r="A3" i="31"/>
  <c r="N19" i="33" l="1"/>
  <c r="J19" i="33"/>
  <c r="D15" i="13" s="1"/>
  <c r="F15" i="13" l="1"/>
  <c r="H15" i="13" s="1"/>
  <c r="L15" i="13"/>
  <c r="J15" i="13"/>
  <c r="N15" i="13"/>
  <c r="E57" i="26" l="1"/>
  <c r="E55" i="26"/>
  <c r="J18" i="82"/>
  <c r="L2" i="82"/>
  <c r="L1" i="82"/>
  <c r="I1" i="82"/>
  <c r="AZ42" i="81"/>
  <c r="BL28" i="81" s="1"/>
  <c r="AZ41" i="81"/>
  <c r="BL26" i="81" s="1"/>
  <c r="AZ40" i="81"/>
  <c r="BL24" i="81" s="1"/>
  <c r="AZ39" i="81"/>
  <c r="BL22" i="81" s="1"/>
  <c r="AZ38" i="81"/>
  <c r="BL20" i="81" s="1"/>
  <c r="N40" i="81"/>
  <c r="N39" i="81"/>
  <c r="N36" i="81"/>
  <c r="N35" i="81"/>
  <c r="N34" i="81"/>
  <c r="N33" i="81"/>
  <c r="N32" i="81"/>
  <c r="DQ34" i="81"/>
  <c r="N31" i="81"/>
  <c r="F34" i="81"/>
  <c r="D34" i="81"/>
  <c r="C34" i="81"/>
  <c r="N30" i="81"/>
  <c r="BB29" i="81"/>
  <c r="AW42" i="81" s="1"/>
  <c r="N29" i="81"/>
  <c r="G32" i="81"/>
  <c r="H32" i="81" s="1"/>
  <c r="BB28" i="81"/>
  <c r="AW41" i="81" s="1"/>
  <c r="N28" i="81"/>
  <c r="G31" i="81"/>
  <c r="BB27" i="81"/>
  <c r="AW40" i="81" s="1"/>
  <c r="N27" i="81"/>
  <c r="BB26" i="81"/>
  <c r="AW39" i="81" s="1"/>
  <c r="AQ29" i="81"/>
  <c r="AK42" i="81" s="1"/>
  <c r="N26" i="81"/>
  <c r="BB25" i="81"/>
  <c r="AW38" i="81" s="1"/>
  <c r="AQ28" i="81"/>
  <c r="AK41" i="81" s="1"/>
  <c r="N25" i="81"/>
  <c r="F28" i="81"/>
  <c r="D28" i="81"/>
  <c r="C28" i="81"/>
  <c r="AQ27" i="81"/>
  <c r="AK40" i="81" s="1"/>
  <c r="N24" i="81"/>
  <c r="EJ19" i="81"/>
  <c r="EJ17" i="81" s="1"/>
  <c r="AQ26" i="81"/>
  <c r="AK39" i="81" s="1"/>
  <c r="N23" i="81"/>
  <c r="G26" i="81"/>
  <c r="H26" i="81" s="1"/>
  <c r="AQ25" i="81"/>
  <c r="AK38" i="81" s="1"/>
  <c r="AI25" i="81"/>
  <c r="N22" i="81"/>
  <c r="G25" i="81"/>
  <c r="N21" i="81"/>
  <c r="G24" i="81"/>
  <c r="DB22" i="81"/>
  <c r="CK18" i="81"/>
  <c r="BT20" i="81"/>
  <c r="DI21" i="81"/>
  <c r="DY12" i="81" s="1"/>
  <c r="J12" i="18" s="1"/>
  <c r="DG21" i="81"/>
  <c r="DW12" i="81" s="1"/>
  <c r="H12" i="18" s="1"/>
  <c r="BG20" i="81"/>
  <c r="BB17" i="81"/>
  <c r="AV42" i="81" s="1"/>
  <c r="BB16" i="81"/>
  <c r="AV41" i="81" s="1"/>
  <c r="BB15" i="81"/>
  <c r="AV40" i="81" s="1"/>
  <c r="AQ17" i="81"/>
  <c r="AJ42" i="81" s="1"/>
  <c r="BB14" i="81"/>
  <c r="AV39" i="81" s="1"/>
  <c r="AQ16" i="81"/>
  <c r="AJ41" i="81" s="1"/>
  <c r="BB13" i="81"/>
  <c r="AV38" i="81" s="1"/>
  <c r="AU13" i="81"/>
  <c r="AU25" i="81" s="1"/>
  <c r="AU38" i="81" s="1"/>
  <c r="AQ15" i="81"/>
  <c r="AJ40" i="81" s="1"/>
  <c r="AQ14" i="81"/>
  <c r="AJ39" i="81" s="1"/>
  <c r="AI14" i="81"/>
  <c r="BG22" i="81" s="1"/>
  <c r="AQ13" i="81"/>
  <c r="AJ38" i="81" s="1"/>
  <c r="DB2" i="81"/>
  <c r="DM2" i="81" s="1"/>
  <c r="DZ2" i="81" s="1"/>
  <c r="K2" i="18" s="1"/>
  <c r="K2" i="23" s="1"/>
  <c r="K2" i="26" s="1"/>
  <c r="CA2" i="81"/>
  <c r="BM2" i="81"/>
  <c r="BB2" i="81"/>
  <c r="AQ2" i="81"/>
  <c r="AE2" i="81"/>
  <c r="U2" i="81"/>
  <c r="DZ1" i="81"/>
  <c r="K1" i="18" s="1"/>
  <c r="K1" i="23" s="1"/>
  <c r="K1" i="26" s="1"/>
  <c r="DM1" i="81"/>
  <c r="DB1" i="81"/>
  <c r="CL1" i="81"/>
  <c r="CA1" i="81"/>
  <c r="BM1" i="81"/>
  <c r="BB1" i="81"/>
  <c r="AQ1" i="81"/>
  <c r="AE1" i="81"/>
  <c r="U1" i="81"/>
  <c r="AL39" i="81" l="1"/>
  <c r="AL41" i="81"/>
  <c r="AL38" i="81"/>
  <c r="AL40" i="81"/>
  <c r="AL42" i="81"/>
  <c r="DV12" i="81"/>
  <c r="G12" i="18" s="1"/>
  <c r="AN38" i="81"/>
  <c r="AN39" i="81" s="1"/>
  <c r="AN40" i="81" s="1"/>
  <c r="AN41" i="81" s="1"/>
  <c r="AN42" i="81" s="1"/>
  <c r="CL2" i="81"/>
  <c r="AI38" i="81"/>
  <c r="B34" i="23"/>
  <c r="B34" i="26" s="1"/>
  <c r="B34" i="18"/>
  <c r="AX41" i="81"/>
  <c r="G34" i="81"/>
  <c r="G28" i="81"/>
  <c r="H28" i="81" s="1"/>
  <c r="DT12" i="81"/>
  <c r="E12" i="18" s="1"/>
  <c r="H4" i="31"/>
  <c r="O18" i="82"/>
  <c r="AX39" i="81"/>
  <c r="AX42" i="81"/>
  <c r="AX40" i="81"/>
  <c r="AX38" i="81"/>
  <c r="H31" i="81"/>
  <c r="AU14" i="81"/>
  <c r="AU26" i="81" s="1"/>
  <c r="AU39" i="81" s="1"/>
  <c r="DQ35" i="81"/>
  <c r="AI15" i="81"/>
  <c r="AI26" i="81"/>
  <c r="BT22" i="81"/>
  <c r="AP38" i="81" l="1"/>
  <c r="BV20" i="81" s="1"/>
  <c r="DS34" i="81" s="1"/>
  <c r="D34" i="18" s="1"/>
  <c r="BK26" i="81"/>
  <c r="BM26" i="81" s="1"/>
  <c r="BZ26" i="81" s="1"/>
  <c r="DY37" i="81" s="1"/>
  <c r="J37" i="18" s="1"/>
  <c r="O3" i="33"/>
  <c r="E10" i="33" s="1"/>
  <c r="C9" i="70"/>
  <c r="E11" i="31"/>
  <c r="E19" i="31"/>
  <c r="E12" i="31"/>
  <c r="E20" i="31"/>
  <c r="E14" i="31"/>
  <c r="E15" i="31"/>
  <c r="E16" i="31"/>
  <c r="E13" i="31"/>
  <c r="E17" i="31"/>
  <c r="E18" i="31"/>
  <c r="E10" i="31"/>
  <c r="AI39" i="81"/>
  <c r="B35" i="23"/>
  <c r="B35" i="26" s="1"/>
  <c r="B35" i="18"/>
  <c r="O4" i="33" s="1"/>
  <c r="F10" i="33" s="1"/>
  <c r="BK22" i="81"/>
  <c r="BM22" i="81" s="1"/>
  <c r="BZ22" i="81" s="1"/>
  <c r="DY35" i="81" s="1"/>
  <c r="J35" i="18" s="1"/>
  <c r="H34" i="81"/>
  <c r="AY38" i="81"/>
  <c r="AY39" i="81" s="1"/>
  <c r="AY40" i="81" s="1"/>
  <c r="AY41" i="81" s="1"/>
  <c r="AY42" i="81" s="1"/>
  <c r="BA42" i="81" s="1"/>
  <c r="BX28" i="81" s="1"/>
  <c r="DV38" i="81" s="1"/>
  <c r="G38" i="18" s="1"/>
  <c r="Q7" i="33" s="1"/>
  <c r="BK20" i="81"/>
  <c r="BM20" i="81" s="1"/>
  <c r="BZ20" i="81" s="1"/>
  <c r="DY34" i="81" s="1"/>
  <c r="J34" i="18" s="1"/>
  <c r="BK24" i="81"/>
  <c r="BM24" i="81" s="1"/>
  <c r="BZ24" i="81" s="1"/>
  <c r="DY36" i="81" s="1"/>
  <c r="J36" i="18" s="1"/>
  <c r="BK28" i="81"/>
  <c r="AI27" i="81"/>
  <c r="BT24" i="81"/>
  <c r="AU15" i="81"/>
  <c r="AU27" i="81" s="1"/>
  <c r="AU40" i="81" s="1"/>
  <c r="BG24" i="81"/>
  <c r="AI16" i="81"/>
  <c r="DQ36" i="81"/>
  <c r="BM28" i="81" l="1"/>
  <c r="BZ28" i="81" s="1"/>
  <c r="DY38" i="81" s="1"/>
  <c r="J38" i="18" s="1"/>
  <c r="C39" i="81"/>
  <c r="D39" i="81"/>
  <c r="C40" i="81"/>
  <c r="D40" i="81"/>
  <c r="BA39" i="81"/>
  <c r="BX22" i="81" s="1"/>
  <c r="DV35" i="81" s="1"/>
  <c r="G35" i="18" s="1"/>
  <c r="Q4" i="33" s="1"/>
  <c r="BA40" i="81"/>
  <c r="BX24" i="81" s="1"/>
  <c r="DV36" i="81" s="1"/>
  <c r="G36" i="18" s="1"/>
  <c r="Q5" i="33" s="1"/>
  <c r="BA38" i="81"/>
  <c r="BX20" i="81" s="1"/>
  <c r="DV34" i="81" s="1"/>
  <c r="G34" i="18" s="1"/>
  <c r="Q3" i="33" s="1"/>
  <c r="BA41" i="81"/>
  <c r="BX26" i="81" s="1"/>
  <c r="DV37" i="81" s="1"/>
  <c r="G37" i="18" s="1"/>
  <c r="Q6" i="33" s="1"/>
  <c r="AI40" i="81"/>
  <c r="B36" i="18"/>
  <c r="O5" i="33" s="1"/>
  <c r="G10" i="33" s="1"/>
  <c r="B36" i="23"/>
  <c r="B36" i="26" s="1"/>
  <c r="AP40" i="81"/>
  <c r="BV24" i="81" s="1"/>
  <c r="DS36" i="81" s="1"/>
  <c r="D36" i="18" s="1"/>
  <c r="AP39" i="81"/>
  <c r="BV22" i="81" s="1"/>
  <c r="DS35" i="81" s="1"/>
  <c r="D35" i="18" s="1"/>
  <c r="BG26" i="81"/>
  <c r="BT26" i="81"/>
  <c r="AU16" i="81"/>
  <c r="AU28" i="81" s="1"/>
  <c r="AU41" i="81" s="1"/>
  <c r="AI28" i="81"/>
  <c r="DQ37" i="81"/>
  <c r="AI17" i="81"/>
  <c r="D41" i="81" l="1"/>
  <c r="C41" i="81"/>
  <c r="AI41" i="81"/>
  <c r="B37" i="23"/>
  <c r="B37" i="26" s="1"/>
  <c r="B37" i="18"/>
  <c r="O6" i="33" s="1"/>
  <c r="H10" i="33" s="1"/>
  <c r="AP42" i="81"/>
  <c r="BV28" i="81" s="1"/>
  <c r="DS38" i="81" s="1"/>
  <c r="D38" i="18" s="1"/>
  <c r="AP41" i="81"/>
  <c r="BV26" i="81" s="1"/>
  <c r="DS37" i="81" s="1"/>
  <c r="D37" i="18" s="1"/>
  <c r="AU17" i="81"/>
  <c r="AU29" i="81" s="1"/>
  <c r="AU42" i="81" s="1"/>
  <c r="DQ38" i="81"/>
  <c r="AI29" i="81"/>
  <c r="BT28" i="81"/>
  <c r="BG28" i="81"/>
  <c r="AI42" i="81" l="1"/>
  <c r="B38" i="18"/>
  <c r="O7" i="33" s="1"/>
  <c r="I10" i="33" s="1"/>
  <c r="B38" i="23"/>
  <c r="B38" i="26" s="1"/>
  <c r="O21" i="81" l="1"/>
  <c r="Q21" i="81"/>
  <c r="P21" i="81"/>
  <c r="Q29" i="81" l="1"/>
  <c r="U29" i="81" s="1"/>
  <c r="Q23" i="81"/>
  <c r="U23" i="81" s="1"/>
  <c r="Q35" i="81"/>
  <c r="U35" i="81" s="1"/>
  <c r="Q27" i="81"/>
  <c r="U27" i="81" s="1"/>
  <c r="Q40" i="81"/>
  <c r="U40" i="81" s="1"/>
  <c r="Q28" i="81"/>
  <c r="U28" i="81" s="1"/>
  <c r="Q25" i="81"/>
  <c r="U25" i="81" s="1"/>
  <c r="Q32" i="81"/>
  <c r="U32" i="81" s="1"/>
  <c r="Q39" i="81"/>
  <c r="U39" i="81" s="1"/>
  <c r="Q24" i="81"/>
  <c r="U24" i="81" s="1"/>
  <c r="U21" i="81"/>
  <c r="Q34" i="81"/>
  <c r="U34" i="81" s="1"/>
  <c r="Q36" i="81"/>
  <c r="U36" i="81" s="1"/>
  <c r="Q22" i="81"/>
  <c r="U22" i="81" s="1"/>
  <c r="Q26" i="81"/>
  <c r="U26" i="81" s="1"/>
  <c r="Q31" i="81"/>
  <c r="U31" i="81" s="1"/>
  <c r="Q33" i="81"/>
  <c r="U33" i="81" s="1"/>
  <c r="Q30" i="81"/>
  <c r="U30" i="81" s="1"/>
  <c r="P40" i="81"/>
  <c r="T40" i="81" s="1"/>
  <c r="P33" i="81"/>
  <c r="T33" i="81" s="1"/>
  <c r="P28" i="81"/>
  <c r="T28" i="81" s="1"/>
  <c r="T21" i="81"/>
  <c r="P32" i="81"/>
  <c r="T32" i="81" s="1"/>
  <c r="P29" i="81"/>
  <c r="T29" i="81" s="1"/>
  <c r="P39" i="81"/>
  <c r="T39" i="81" s="1"/>
  <c r="P35" i="81"/>
  <c r="T35" i="81" s="1"/>
  <c r="P36" i="81"/>
  <c r="T36" i="81" s="1"/>
  <c r="P25" i="81"/>
  <c r="T25" i="81" s="1"/>
  <c r="P30" i="81"/>
  <c r="T30" i="81" s="1"/>
  <c r="P34" i="81"/>
  <c r="T34" i="81" s="1"/>
  <c r="P22" i="81"/>
  <c r="T22" i="81" s="1"/>
  <c r="P23" i="81"/>
  <c r="T23" i="81" s="1"/>
  <c r="P31" i="81"/>
  <c r="T31" i="81" s="1"/>
  <c r="P24" i="81"/>
  <c r="T24" i="81" s="1"/>
  <c r="P27" i="81"/>
  <c r="T27" i="81" s="1"/>
  <c r="P26" i="81"/>
  <c r="T26" i="81" s="1"/>
  <c r="S21" i="81"/>
  <c r="O22" i="81"/>
  <c r="S22" i="81" s="1"/>
  <c r="O40" i="81"/>
  <c r="S40" i="81" s="1"/>
  <c r="O25" i="81"/>
  <c r="S25" i="81" s="1"/>
  <c r="O27" i="81"/>
  <c r="S27" i="81" s="1"/>
  <c r="O39" i="81"/>
  <c r="S39" i="81" s="1"/>
  <c r="O34" i="81"/>
  <c r="S34" i="81" s="1"/>
  <c r="O35" i="81"/>
  <c r="S35" i="81" s="1"/>
  <c r="O31" i="81"/>
  <c r="S31" i="81" s="1"/>
  <c r="O30" i="81"/>
  <c r="S30" i="81" s="1"/>
  <c r="O36" i="81"/>
  <c r="S36" i="81" s="1"/>
  <c r="O23" i="81"/>
  <c r="S23" i="81" s="1"/>
  <c r="O29" i="81"/>
  <c r="S29" i="81" s="1"/>
  <c r="O33" i="81"/>
  <c r="S33" i="81" s="1"/>
  <c r="O26" i="81"/>
  <c r="S26" i="81" s="1"/>
  <c r="O32" i="81"/>
  <c r="S32" i="81" s="1"/>
  <c r="O24" i="81"/>
  <c r="S24" i="81" s="1"/>
  <c r="O28" i="81"/>
  <c r="S28" i="81" s="1"/>
  <c r="DT23" i="81" l="1"/>
  <c r="E23" i="18" s="1"/>
  <c r="AD31" i="81"/>
  <c r="DW23" i="81" s="1"/>
  <c r="H23" i="18" s="1"/>
  <c r="AD37" i="81"/>
  <c r="DW26" i="81" s="1"/>
  <c r="H26" i="18" s="1"/>
  <c r="DT26" i="81"/>
  <c r="E26" i="18" s="1"/>
  <c r="AD29" i="81"/>
  <c r="DW22" i="81" s="1"/>
  <c r="H22" i="18" s="1"/>
  <c r="DT22" i="81"/>
  <c r="E22" i="18" s="1"/>
  <c r="DT20" i="81"/>
  <c r="E20" i="18" s="1"/>
  <c r="AD25" i="81"/>
  <c r="DW20" i="81" s="1"/>
  <c r="H20" i="18" s="1"/>
  <c r="AD33" i="81"/>
  <c r="DW24" i="81" s="1"/>
  <c r="H24" i="18" s="1"/>
  <c r="DT24" i="81"/>
  <c r="E24" i="18" s="1"/>
  <c r="DT25" i="81"/>
  <c r="E25" i="18" s="1"/>
  <c r="AD35" i="81"/>
  <c r="DW25" i="81" s="1"/>
  <c r="H25" i="18" s="1"/>
  <c r="DT21" i="81"/>
  <c r="E21" i="18" s="1"/>
  <c r="AD27" i="81"/>
  <c r="DW21" i="81" s="1"/>
  <c r="H21" i="18" s="1"/>
  <c r="M15" i="9" l="1"/>
  <c r="M16" i="9"/>
  <c r="P6" i="70"/>
  <c r="A9" i="70" l="1"/>
  <c r="C9" i="9"/>
  <c r="C10" i="9"/>
  <c r="C11" i="9"/>
  <c r="C12" i="9"/>
  <c r="C13" i="9"/>
  <c r="C14" i="9"/>
  <c r="C15" i="9"/>
  <c r="C17" i="9"/>
  <c r="C18" i="9"/>
  <c r="C76" i="70" l="1"/>
  <c r="A78" i="70" s="1"/>
  <c r="C31" i="70"/>
  <c r="A31" i="70" s="1"/>
  <c r="C20" i="70"/>
  <c r="A20" i="70" s="1"/>
  <c r="C10" i="70"/>
  <c r="B9" i="9"/>
  <c r="M9" i="9" s="1"/>
  <c r="B10" i="9"/>
  <c r="M10" i="9" s="1"/>
  <c r="B11" i="9"/>
  <c r="M11" i="9" s="1"/>
  <c r="B12" i="9"/>
  <c r="M12" i="9" s="1"/>
  <c r="B13" i="9"/>
  <c r="M13" i="9" s="1"/>
  <c r="B14" i="9"/>
  <c r="M14" i="9" s="1"/>
  <c r="B15" i="9"/>
  <c r="B17" i="9"/>
  <c r="M17" i="9" s="1"/>
  <c r="B18" i="9"/>
  <c r="M18" i="9" s="1"/>
  <c r="C77" i="70" l="1"/>
  <c r="A79" i="70" s="1"/>
  <c r="A10" i="70"/>
  <c r="C11" i="70"/>
  <c r="C21" i="70"/>
  <c r="A21" i="70" s="1"/>
  <c r="C32" i="70"/>
  <c r="A32" i="70" s="1"/>
  <c r="C5" i="70"/>
  <c r="C71" i="70" s="1"/>
  <c r="N71" i="70"/>
  <c r="D7" i="70"/>
  <c r="C33" i="70" l="1"/>
  <c r="A33" i="70" s="1"/>
  <c r="A11" i="70"/>
  <c r="I9" i="70"/>
  <c r="G20" i="70"/>
  <c r="E20" i="70"/>
  <c r="K20" i="70"/>
  <c r="L9" i="70"/>
  <c r="J20" i="70"/>
  <c r="M20" i="70"/>
  <c r="D20" i="70"/>
  <c r="I20" i="70"/>
  <c r="L20" i="70"/>
  <c r="J9" i="70"/>
  <c r="H20" i="70"/>
  <c r="M9" i="70"/>
  <c r="N20" i="70"/>
  <c r="F20" i="70"/>
  <c r="K9" i="70"/>
  <c r="L10" i="70"/>
  <c r="J21" i="70"/>
  <c r="L21" i="70"/>
  <c r="M21" i="70"/>
  <c r="E21" i="70"/>
  <c r="D21" i="70"/>
  <c r="N21" i="70"/>
  <c r="J10" i="70"/>
  <c r="H21" i="70"/>
  <c r="M10" i="70"/>
  <c r="K21" i="70"/>
  <c r="I10" i="70"/>
  <c r="F21" i="70"/>
  <c r="K10" i="70"/>
  <c r="I21" i="70"/>
  <c r="G21" i="70"/>
  <c r="C22" i="70"/>
  <c r="A22" i="70" s="1"/>
  <c r="C12" i="70"/>
  <c r="A12" i="70" s="1"/>
  <c r="C78" i="70"/>
  <c r="A80" i="70" s="1"/>
  <c r="M22" i="70" l="1"/>
  <c r="E22" i="70"/>
  <c r="K11" i="70"/>
  <c r="L11" i="70"/>
  <c r="J11" i="70"/>
  <c r="H22" i="70"/>
  <c r="D22" i="70"/>
  <c r="G22" i="70"/>
  <c r="M11" i="70"/>
  <c r="K22" i="70"/>
  <c r="F22" i="70"/>
  <c r="N22" i="70"/>
  <c r="I22" i="70"/>
  <c r="J22" i="70"/>
  <c r="I11" i="70"/>
  <c r="L22" i="70"/>
  <c r="C23" i="70"/>
  <c r="A23" i="70" s="1"/>
  <c r="C34" i="70"/>
  <c r="A34" i="70" s="1"/>
  <c r="C79" i="70"/>
  <c r="A81" i="70" s="1"/>
  <c r="C13" i="70"/>
  <c r="C24" i="70" l="1"/>
  <c r="A24" i="70" s="1"/>
  <c r="M13" i="70" s="1"/>
  <c r="A13" i="70"/>
  <c r="E24" i="70"/>
  <c r="H24" i="70"/>
  <c r="N24" i="70"/>
  <c r="F24" i="70"/>
  <c r="J13" i="70"/>
  <c r="K13" i="70"/>
  <c r="L24" i="70"/>
  <c r="M24" i="70"/>
  <c r="D24" i="70"/>
  <c r="L13" i="70"/>
  <c r="J24" i="70"/>
  <c r="I13" i="70"/>
  <c r="J12" i="70"/>
  <c r="H23" i="70"/>
  <c r="E23" i="70"/>
  <c r="M12" i="70"/>
  <c r="K23" i="70"/>
  <c r="F23" i="70"/>
  <c r="N23" i="70"/>
  <c r="L23" i="70"/>
  <c r="K12" i="70"/>
  <c r="I23" i="70"/>
  <c r="M23" i="70"/>
  <c r="G23" i="70"/>
  <c r="D23" i="70"/>
  <c r="L12" i="70"/>
  <c r="I12" i="70"/>
  <c r="J23" i="70"/>
  <c r="C35" i="70"/>
  <c r="A35" i="70" s="1"/>
  <c r="C80" i="70"/>
  <c r="A82" i="70" s="1"/>
  <c r="B12" i="33"/>
  <c r="C12" i="33"/>
  <c r="D12" i="33"/>
  <c r="C8" i="14" s="1"/>
  <c r="B13" i="33"/>
  <c r="C13" i="33"/>
  <c r="D13" i="33"/>
  <c r="C9" i="14" s="1"/>
  <c r="B14" i="33"/>
  <c r="C14" i="33"/>
  <c r="D14" i="33"/>
  <c r="C10" i="14" s="1"/>
  <c r="B15" i="33"/>
  <c r="C15" i="33"/>
  <c r="D15" i="33"/>
  <c r="C11" i="14" s="1"/>
  <c r="B16" i="33"/>
  <c r="C16" i="33"/>
  <c r="D16" i="33"/>
  <c r="C12" i="14" s="1"/>
  <c r="B17" i="33"/>
  <c r="C17" i="33"/>
  <c r="D17" i="33"/>
  <c r="C13" i="14" s="1"/>
  <c r="B18" i="33"/>
  <c r="C18" i="33"/>
  <c r="D18" i="33"/>
  <c r="C14" i="14" s="1"/>
  <c r="B20" i="33"/>
  <c r="C20" i="33"/>
  <c r="D20" i="33"/>
  <c r="C16" i="14" s="1"/>
  <c r="B21" i="33"/>
  <c r="C21" i="33"/>
  <c r="D21" i="33"/>
  <c r="C17" i="14" s="1"/>
  <c r="D11" i="33"/>
  <c r="C7" i="14" s="1"/>
  <c r="C11" i="33"/>
  <c r="B11" i="33"/>
  <c r="G24" i="70" l="1"/>
  <c r="I24" i="70"/>
  <c r="K24" i="70"/>
  <c r="W18" i="31"/>
  <c r="K17" i="33"/>
  <c r="L17" i="33"/>
  <c r="M17" i="33"/>
  <c r="K14" i="33"/>
  <c r="L14" i="33"/>
  <c r="M14" i="33"/>
  <c r="L11" i="33"/>
  <c r="K11" i="33"/>
  <c r="M11" i="33"/>
  <c r="L20" i="33"/>
  <c r="M20" i="33"/>
  <c r="K20" i="33"/>
  <c r="M16" i="33"/>
  <c r="K16" i="33"/>
  <c r="L16" i="33"/>
  <c r="K13" i="33"/>
  <c r="L13" i="33"/>
  <c r="M13" i="33"/>
  <c r="K18" i="33"/>
  <c r="L18" i="33"/>
  <c r="M18" i="33"/>
  <c r="K15" i="33"/>
  <c r="L15" i="33"/>
  <c r="M15" i="33"/>
  <c r="K21" i="33"/>
  <c r="L21" i="33"/>
  <c r="M21" i="33"/>
  <c r="K12" i="33"/>
  <c r="L12" i="33"/>
  <c r="M12" i="33"/>
  <c r="J10" i="31" l="1"/>
  <c r="J14" i="31"/>
  <c r="J17" i="31"/>
  <c r="J16" i="31"/>
  <c r="J13" i="31"/>
  <c r="J12" i="31"/>
  <c r="J19" i="31"/>
  <c r="J20" i="31"/>
  <c r="J11" i="31"/>
  <c r="J15" i="31"/>
  <c r="N16" i="33"/>
  <c r="N17" i="33"/>
  <c r="N12" i="33" l="1"/>
  <c r="N14" i="33"/>
  <c r="N20" i="33"/>
  <c r="N21" i="33"/>
  <c r="N11" i="33"/>
  <c r="N13" i="33"/>
  <c r="N18" i="33"/>
  <c r="E53" i="26"/>
  <c r="J38" i="23" l="1"/>
  <c r="J38" i="26" s="1"/>
  <c r="J37" i="23"/>
  <c r="J37" i="26" s="1"/>
  <c r="J36" i="23"/>
  <c r="J36" i="26" s="1"/>
  <c r="J35" i="23"/>
  <c r="J35" i="26" s="1"/>
  <c r="J34" i="23"/>
  <c r="J34" i="26" s="1"/>
  <c r="G38" i="23"/>
  <c r="G38" i="26" s="1"/>
  <c r="G37" i="23"/>
  <c r="G37" i="26" s="1"/>
  <c r="G36" i="23"/>
  <c r="G36" i="26" s="1"/>
  <c r="G35" i="23"/>
  <c r="G35" i="26" s="1"/>
  <c r="G34" i="23"/>
  <c r="G34" i="26" s="1"/>
  <c r="D35" i="23"/>
  <c r="D35" i="26" s="1"/>
  <c r="D36" i="23"/>
  <c r="D36" i="26" s="1"/>
  <c r="D37" i="23"/>
  <c r="D37" i="26" s="1"/>
  <c r="D38" i="23"/>
  <c r="D38" i="26" s="1"/>
  <c r="D34" i="23"/>
  <c r="D34" i="26" s="1"/>
  <c r="H26" i="23"/>
  <c r="H26" i="26" s="1"/>
  <c r="H25" i="23"/>
  <c r="H25" i="26" s="1"/>
  <c r="H24" i="23"/>
  <c r="H24" i="26" s="1"/>
  <c r="H23" i="23"/>
  <c r="H23" i="26" s="1"/>
  <c r="H22" i="23"/>
  <c r="H22" i="26" s="1"/>
  <c r="H21" i="23"/>
  <c r="H21" i="26" s="1"/>
  <c r="H20" i="23"/>
  <c r="H20" i="26" s="1"/>
  <c r="E21" i="23"/>
  <c r="E21" i="26" s="1"/>
  <c r="E22" i="23"/>
  <c r="E22" i="26" s="1"/>
  <c r="E23" i="23"/>
  <c r="E23" i="26" s="1"/>
  <c r="E24" i="23"/>
  <c r="E24" i="26" s="1"/>
  <c r="E25" i="23"/>
  <c r="E25" i="26" s="1"/>
  <c r="E26" i="23"/>
  <c r="E26" i="26" s="1"/>
  <c r="E20" i="23"/>
  <c r="E20" i="26" s="1"/>
  <c r="J12" i="23"/>
  <c r="J12" i="26" s="1"/>
  <c r="H12" i="23"/>
  <c r="H12" i="26" s="1"/>
  <c r="G12" i="23"/>
  <c r="G12" i="26" s="1"/>
  <c r="E12" i="23"/>
  <c r="E12" i="26" s="1"/>
  <c r="D9" i="70" l="1"/>
  <c r="D12" i="70"/>
  <c r="D11" i="70"/>
  <c r="D10" i="70"/>
  <c r="D13" i="70"/>
  <c r="M25" i="70"/>
  <c r="K25" i="70"/>
  <c r="E25" i="70"/>
  <c r="H25" i="70"/>
  <c r="F25" i="70"/>
  <c r="J25" i="70"/>
  <c r="I25" i="70"/>
  <c r="M14" i="70"/>
  <c r="L14" i="70"/>
  <c r="E9" i="70"/>
  <c r="E12" i="70"/>
  <c r="J14" i="70"/>
  <c r="N12" i="70"/>
  <c r="N11" i="70"/>
  <c r="N9" i="70"/>
  <c r="I14" i="70"/>
  <c r="D25" i="70"/>
  <c r="E13" i="70"/>
  <c r="K14" i="70"/>
  <c r="N25" i="70"/>
  <c r="E11" i="70"/>
  <c r="L25" i="70"/>
  <c r="E10" i="70"/>
  <c r="N13" i="70"/>
  <c r="G25" i="70"/>
  <c r="N10" i="70"/>
  <c r="AS13" i="35"/>
  <c r="AR13" i="35"/>
  <c r="AS12" i="35"/>
  <c r="AR12" i="35"/>
  <c r="AS11" i="35"/>
  <c r="AR11" i="35"/>
  <c r="AS10" i="35"/>
  <c r="AR10" i="35"/>
  <c r="AS9" i="35"/>
  <c r="AR9" i="35"/>
  <c r="AS8" i="35"/>
  <c r="AR8" i="35"/>
  <c r="AS7" i="35"/>
  <c r="AR7" i="35"/>
  <c r="AS6" i="35"/>
  <c r="AR6" i="35"/>
  <c r="AS5" i="35"/>
  <c r="AR5" i="35"/>
  <c r="I8" i="28" l="1"/>
  <c r="F10" i="31" s="1"/>
  <c r="I16" i="28"/>
  <c r="F18" i="31" s="1"/>
  <c r="I9" i="28"/>
  <c r="F11" i="31" s="1"/>
  <c r="I17" i="28"/>
  <c r="I10" i="28"/>
  <c r="F12" i="31" s="1"/>
  <c r="I18" i="28"/>
  <c r="I11" i="28"/>
  <c r="F13" i="31" s="1"/>
  <c r="I12" i="28"/>
  <c r="F14" i="31" s="1"/>
  <c r="I13" i="28"/>
  <c r="F15" i="31" s="1"/>
  <c r="I14" i="28"/>
  <c r="F16" i="31" s="1"/>
  <c r="I15" i="28"/>
  <c r="F17" i="31" s="1"/>
  <c r="F57" i="70"/>
  <c r="G57" i="70"/>
  <c r="F10" i="70"/>
  <c r="F12" i="70"/>
  <c r="F9" i="70"/>
  <c r="F11" i="70"/>
  <c r="D14" i="70"/>
  <c r="N14" i="70"/>
  <c r="E14" i="70"/>
  <c r="F13" i="70"/>
  <c r="S12" i="26"/>
  <c r="R12" i="26"/>
  <c r="Q12" i="26"/>
  <c r="P12" i="26"/>
  <c r="F20" i="31" l="1"/>
  <c r="F19" i="31"/>
  <c r="H57" i="70"/>
  <c r="L18" i="31"/>
  <c r="Y18" i="31" s="1"/>
  <c r="M18" i="31"/>
  <c r="Z18" i="31" s="1"/>
  <c r="K18" i="31"/>
  <c r="F14" i="70"/>
  <c r="A6" i="35"/>
  <c r="A7" i="35"/>
  <c r="A8" i="35"/>
  <c r="A9" i="35"/>
  <c r="A10" i="35"/>
  <c r="A11" i="35"/>
  <c r="A12" i="35"/>
  <c r="A13" i="35"/>
  <c r="A5" i="35"/>
  <c r="AF5" i="35"/>
  <c r="O6" i="35" l="1"/>
  <c r="G6" i="35"/>
  <c r="N6" i="35"/>
  <c r="F6" i="35"/>
  <c r="E6" i="35"/>
  <c r="K6" i="35"/>
  <c r="J6" i="35"/>
  <c r="M6" i="35"/>
  <c r="L6" i="35"/>
  <c r="D6" i="35"/>
  <c r="R6" i="35"/>
  <c r="S6" i="35"/>
  <c r="AD6" i="35" s="1"/>
  <c r="Q6" i="35"/>
  <c r="I6" i="35"/>
  <c r="H6" i="35"/>
  <c r="P6" i="35"/>
  <c r="O12" i="35"/>
  <c r="G12" i="35"/>
  <c r="N12" i="35"/>
  <c r="F12" i="35"/>
  <c r="M12" i="35"/>
  <c r="E12" i="35"/>
  <c r="L12" i="35"/>
  <c r="D12" i="35"/>
  <c r="S12" i="35"/>
  <c r="AD12" i="35" s="1"/>
  <c r="K12" i="35"/>
  <c r="R12" i="35"/>
  <c r="J12" i="35"/>
  <c r="Q12" i="35"/>
  <c r="I12" i="35"/>
  <c r="P12" i="35"/>
  <c r="H12" i="35"/>
  <c r="O11" i="35"/>
  <c r="G11" i="35"/>
  <c r="N11" i="35"/>
  <c r="F11" i="35"/>
  <c r="S11" i="35"/>
  <c r="AD11" i="35" s="1"/>
  <c r="J11" i="35"/>
  <c r="M11" i="35"/>
  <c r="E11" i="35"/>
  <c r="K11" i="35"/>
  <c r="L11" i="35"/>
  <c r="D11" i="35"/>
  <c r="R11" i="35"/>
  <c r="Q11" i="35"/>
  <c r="I11" i="35"/>
  <c r="P11" i="35"/>
  <c r="H11" i="35"/>
  <c r="O10" i="35"/>
  <c r="G10" i="35"/>
  <c r="N10" i="35"/>
  <c r="F10" i="35"/>
  <c r="K10" i="35"/>
  <c r="M10" i="35"/>
  <c r="E10" i="35"/>
  <c r="L10" i="35"/>
  <c r="D10" i="35"/>
  <c r="S10" i="35"/>
  <c r="AD10" i="35" s="1"/>
  <c r="J10" i="35"/>
  <c r="R10" i="35"/>
  <c r="Q10" i="35"/>
  <c r="I10" i="35"/>
  <c r="P10" i="35"/>
  <c r="H10" i="35"/>
  <c r="O9" i="35"/>
  <c r="G9" i="35"/>
  <c r="N9" i="35"/>
  <c r="F9" i="35"/>
  <c r="M9" i="35"/>
  <c r="E9" i="35"/>
  <c r="L9" i="35"/>
  <c r="D9" i="35"/>
  <c r="K9" i="35"/>
  <c r="S9" i="35"/>
  <c r="AD9" i="35" s="1"/>
  <c r="J9" i="35"/>
  <c r="Q9" i="35"/>
  <c r="I9" i="35"/>
  <c r="H9" i="35"/>
  <c r="P9" i="35"/>
  <c r="R9" i="35"/>
  <c r="O13" i="35"/>
  <c r="G13" i="35"/>
  <c r="N13" i="35"/>
  <c r="F13" i="35"/>
  <c r="S13" i="35"/>
  <c r="AD13" i="35" s="1"/>
  <c r="M13" i="35"/>
  <c r="E13" i="35"/>
  <c r="K13" i="35"/>
  <c r="L13" i="35"/>
  <c r="D13" i="35"/>
  <c r="J13" i="35"/>
  <c r="R13" i="35"/>
  <c r="Q13" i="35"/>
  <c r="I13" i="35"/>
  <c r="P13" i="35"/>
  <c r="H13" i="35"/>
  <c r="O8" i="35"/>
  <c r="G8" i="35"/>
  <c r="N8" i="35"/>
  <c r="F8" i="35"/>
  <c r="K8" i="35"/>
  <c r="J8" i="35"/>
  <c r="M8" i="35"/>
  <c r="E8" i="35"/>
  <c r="S8" i="35"/>
  <c r="AD8" i="35" s="1"/>
  <c r="L8" i="35"/>
  <c r="D8" i="35"/>
  <c r="R8" i="35"/>
  <c r="Q8" i="35"/>
  <c r="I8" i="35"/>
  <c r="P8" i="35"/>
  <c r="H8" i="35"/>
  <c r="O5" i="35"/>
  <c r="G5" i="35"/>
  <c r="J5" i="35"/>
  <c r="N5" i="35"/>
  <c r="F5" i="35"/>
  <c r="M5" i="35"/>
  <c r="E5" i="35"/>
  <c r="K5" i="35"/>
  <c r="L5" i="35"/>
  <c r="D5" i="35"/>
  <c r="S5" i="35"/>
  <c r="AD5" i="35" s="1"/>
  <c r="R5" i="35"/>
  <c r="Q5" i="35"/>
  <c r="I5" i="35"/>
  <c r="H5" i="35"/>
  <c r="P5" i="35"/>
  <c r="O7" i="35"/>
  <c r="G7" i="35"/>
  <c r="N7" i="35"/>
  <c r="F7" i="35"/>
  <c r="M7" i="35"/>
  <c r="E7" i="35"/>
  <c r="K7" i="35"/>
  <c r="L7" i="35"/>
  <c r="D7" i="35"/>
  <c r="S7" i="35"/>
  <c r="AD7" i="35" s="1"/>
  <c r="R7" i="35"/>
  <c r="J7" i="35"/>
  <c r="Q7" i="35"/>
  <c r="I7" i="35"/>
  <c r="H7" i="35"/>
  <c r="P7" i="35"/>
  <c r="N18" i="31"/>
  <c r="X18" i="31"/>
  <c r="H65" i="70"/>
  <c r="H64" i="70"/>
  <c r="AB9" i="35" l="1" a="1"/>
  <c r="AB9" i="35" s="1"/>
  <c r="Z9" i="35" a="1"/>
  <c r="Z9" i="35" s="1"/>
  <c r="AC9" i="35" a="1"/>
  <c r="AC9" i="35" s="1"/>
  <c r="Y9" i="35" a="1"/>
  <c r="Y9" i="35" s="1"/>
  <c r="AA9" i="35" a="1"/>
  <c r="AA9" i="35" s="1"/>
  <c r="Z11" i="35" a="1"/>
  <c r="Z11" i="35" s="1"/>
  <c r="Y11" i="35" a="1"/>
  <c r="Y11" i="35" s="1"/>
  <c r="AC11" i="35" a="1"/>
  <c r="AC11" i="35" s="1"/>
  <c r="AA11" i="35" a="1"/>
  <c r="AA11" i="35" s="1"/>
  <c r="AB11" i="35" a="1"/>
  <c r="AB11" i="35" s="1"/>
  <c r="Z12" i="35" a="1"/>
  <c r="Z12" i="35" s="1"/>
  <c r="Y12" i="35" a="1"/>
  <c r="Y12" i="35" s="1"/>
  <c r="AA12" i="35" a="1"/>
  <c r="AA12" i="35" s="1"/>
  <c r="AB12" i="35" a="1"/>
  <c r="AB12" i="35" s="1"/>
  <c r="AC12" i="35" a="1"/>
  <c r="AC12" i="35" s="1"/>
  <c r="U12" i="35" a="1"/>
  <c r="U12" i="35" s="1"/>
  <c r="V12" i="35" a="1"/>
  <c r="V12" i="35" s="1"/>
  <c r="W12" i="35" a="1"/>
  <c r="W12" i="35" s="1"/>
  <c r="T12" i="35" a="1"/>
  <c r="T12" i="35" s="1"/>
  <c r="X12" i="35" a="1"/>
  <c r="X12" i="35" s="1"/>
  <c r="Y6" i="35" a="1"/>
  <c r="Y6" i="35" s="1"/>
  <c r="Z6" i="35" a="1"/>
  <c r="Z6" i="35" s="1"/>
  <c r="AA6" i="35" a="1"/>
  <c r="AA6" i="35" s="1"/>
  <c r="AC6" i="35" a="1"/>
  <c r="AC6" i="35" s="1"/>
  <c r="AB6" i="35" a="1"/>
  <c r="AB6" i="35" s="1"/>
  <c r="AA13" i="35" a="1"/>
  <c r="AA13" i="35" s="1"/>
  <c r="AC13" i="35" a="1"/>
  <c r="AC13" i="35" s="1"/>
  <c r="AB13" i="35" a="1"/>
  <c r="AB13" i="35" s="1"/>
  <c r="Y13" i="35" a="1"/>
  <c r="Y13" i="35" s="1"/>
  <c r="Z13" i="35" a="1"/>
  <c r="Z13" i="35" s="1"/>
  <c r="AA8" i="35" a="1"/>
  <c r="AA8" i="35" s="1"/>
  <c r="AB8" i="35" a="1"/>
  <c r="AB8" i="35" s="1"/>
  <c r="AC8" i="35" a="1"/>
  <c r="AC8" i="35" s="1"/>
  <c r="Z8" i="35" a="1"/>
  <c r="Z8" i="35" s="1"/>
  <c r="Y8" i="35" a="1"/>
  <c r="Y8" i="35" s="1"/>
  <c r="U11" i="35" a="1"/>
  <c r="U11" i="35" s="1"/>
  <c r="T11" i="35" a="1"/>
  <c r="T11" i="35" s="1"/>
  <c r="V11" i="35" a="1"/>
  <c r="V11" i="35" s="1"/>
  <c r="X11" i="35" a="1"/>
  <c r="X11" i="35" s="1"/>
  <c r="W11" i="35" a="1"/>
  <c r="W11" i="35" s="1"/>
  <c r="V6" i="35" a="1"/>
  <c r="V6" i="35" s="1"/>
  <c r="X6" i="35" a="1"/>
  <c r="X6" i="35" s="1"/>
  <c r="T6" i="35" a="1"/>
  <c r="T6" i="35" s="1"/>
  <c r="U6" i="35" a="1"/>
  <c r="U6" i="35" s="1"/>
  <c r="W6" i="35" a="1"/>
  <c r="W6" i="35" s="1"/>
  <c r="AC10" i="35" a="1"/>
  <c r="AC10" i="35" s="1"/>
  <c r="Y10" i="35" a="1"/>
  <c r="Y10" i="35" s="1"/>
  <c r="AB10" i="35" a="1"/>
  <c r="AB10" i="35" s="1"/>
  <c r="Z10" i="35" a="1"/>
  <c r="Z10" i="35" s="1"/>
  <c r="AA10" i="35" a="1"/>
  <c r="AA10" i="35" s="1"/>
  <c r="T10" i="35" a="1"/>
  <c r="T10" i="35" s="1"/>
  <c r="V10" i="35" a="1"/>
  <c r="V10" i="35" s="1"/>
  <c r="X10" i="35" a="1"/>
  <c r="X10" i="35" s="1"/>
  <c r="W10" i="35" a="1"/>
  <c r="W10" i="35" s="1"/>
  <c r="U10" i="35" a="1"/>
  <c r="U10" i="35" s="1"/>
  <c r="V8" i="35" a="1"/>
  <c r="V8" i="35" s="1"/>
  <c r="T8" i="35" a="1"/>
  <c r="T8" i="35" s="1"/>
  <c r="U8" i="35" a="1"/>
  <c r="U8" i="35" s="1"/>
  <c r="W8" i="35" a="1"/>
  <c r="W8" i="35" s="1"/>
  <c r="X8" i="35" a="1"/>
  <c r="X8" i="35" s="1"/>
  <c r="X7" i="35" a="1"/>
  <c r="X7" i="35" s="1"/>
  <c r="U7" i="35" a="1"/>
  <c r="U7" i="35" s="1"/>
  <c r="V7" i="35" a="1"/>
  <c r="V7" i="35" s="1"/>
  <c r="W7" i="35" a="1"/>
  <c r="W7" i="35" s="1"/>
  <c r="T7" i="35" a="1"/>
  <c r="T7" i="35" s="1"/>
  <c r="T5" i="35" a="1"/>
  <c r="T5" i="35" s="1"/>
  <c r="U5" i="35" a="1"/>
  <c r="U5" i="35" s="1"/>
  <c r="V5" i="35" a="1"/>
  <c r="V5" i="35" s="1"/>
  <c r="W5" i="35" a="1"/>
  <c r="W5" i="35" s="1"/>
  <c r="X5" i="35" a="1"/>
  <c r="X5" i="35" s="1"/>
  <c r="V9" i="35" a="1"/>
  <c r="V9" i="35" s="1"/>
  <c r="W9" i="35" a="1"/>
  <c r="W9" i="35" s="1"/>
  <c r="X9" i="35" a="1"/>
  <c r="X9" i="35" s="1"/>
  <c r="T9" i="35" a="1"/>
  <c r="T9" i="35" s="1"/>
  <c r="U9" i="35" a="1"/>
  <c r="U9" i="35" s="1"/>
  <c r="Y5" i="35" a="1"/>
  <c r="Y5" i="35" s="1"/>
  <c r="AC5" i="35" a="1"/>
  <c r="AC5" i="35" s="1"/>
  <c r="Z5" i="35" a="1"/>
  <c r="Z5" i="35" s="1"/>
  <c r="AA5" i="35" a="1"/>
  <c r="AA5" i="35" s="1"/>
  <c r="AB5" i="35" a="1"/>
  <c r="AB5" i="35" s="1"/>
  <c r="W13" i="35" a="1"/>
  <c r="W13" i="35" s="1"/>
  <c r="V13" i="35" a="1"/>
  <c r="V13" i="35" s="1"/>
  <c r="X13" i="35" a="1"/>
  <c r="X13" i="35" s="1"/>
  <c r="T13" i="35" a="1"/>
  <c r="T13" i="35" s="1"/>
  <c r="U13" i="35" a="1"/>
  <c r="U13" i="35" s="1"/>
  <c r="Y7" i="35" a="1"/>
  <c r="Y7" i="35" s="1"/>
  <c r="AA7" i="35" a="1"/>
  <c r="AA7" i="35" s="1"/>
  <c r="Z7" i="35" a="1"/>
  <c r="Z7" i="35" s="1"/>
  <c r="AC7" i="35" a="1"/>
  <c r="AC7" i="35" s="1"/>
  <c r="AB7" i="35" a="1"/>
  <c r="AB7" i="35" s="1"/>
  <c r="B6" i="37"/>
  <c r="C6" i="37" s="1"/>
  <c r="B7" i="37"/>
  <c r="C7" i="37" s="1"/>
  <c r="B8" i="37"/>
  <c r="C8" i="37" s="1"/>
  <c r="B9" i="37"/>
  <c r="C9" i="37" s="1"/>
  <c r="B10" i="37"/>
  <c r="C10" i="37" s="1"/>
  <c r="B11" i="37"/>
  <c r="C11" i="37" s="1"/>
  <c r="B12" i="37"/>
  <c r="C12" i="37" s="1"/>
  <c r="B13" i="37"/>
  <c r="C13" i="37" s="1"/>
  <c r="B14" i="37"/>
  <c r="C14" i="37" s="1"/>
  <c r="B15" i="37"/>
  <c r="C15" i="37" s="1"/>
  <c r="B16" i="37"/>
  <c r="C16" i="37" s="1"/>
  <c r="B17" i="37"/>
  <c r="C17" i="37" s="1"/>
  <c r="B18" i="37"/>
  <c r="C18" i="37" s="1"/>
  <c r="B19" i="37"/>
  <c r="C19" i="37" s="1"/>
  <c r="B20" i="37"/>
  <c r="C20" i="37" s="1"/>
  <c r="B21" i="37"/>
  <c r="C21" i="37" s="1"/>
  <c r="B22" i="37"/>
  <c r="C22" i="37" s="1"/>
  <c r="B23" i="37"/>
  <c r="C23" i="37" s="1"/>
  <c r="B24" i="37"/>
  <c r="C24" i="37" s="1"/>
  <c r="B5" i="37"/>
  <c r="C5" i="37" s="1"/>
  <c r="F53" i="42" l="1"/>
  <c r="D53" i="42"/>
  <c r="C53" i="42"/>
  <c r="B53" i="42"/>
  <c r="F51" i="42"/>
  <c r="D51" i="42"/>
  <c r="C51" i="42"/>
  <c r="B51" i="42"/>
  <c r="F50" i="42"/>
  <c r="D50" i="42"/>
  <c r="C50" i="42"/>
  <c r="B50" i="42"/>
  <c r="F49" i="42"/>
  <c r="D49" i="42"/>
  <c r="C49" i="42"/>
  <c r="B49" i="42"/>
  <c r="F43" i="42"/>
  <c r="D43" i="42"/>
  <c r="C43" i="42"/>
  <c r="B43" i="42"/>
  <c r="F41" i="42"/>
  <c r="D41" i="42"/>
  <c r="C41" i="42"/>
  <c r="B41" i="42"/>
  <c r="F40" i="42"/>
  <c r="D40" i="42"/>
  <c r="C40" i="42"/>
  <c r="B40" i="42"/>
  <c r="F20" i="42" l="1"/>
  <c r="D24" i="42"/>
  <c r="B24" i="42"/>
  <c r="D29" i="42"/>
  <c r="D15" i="42"/>
  <c r="C29" i="42"/>
  <c r="C15" i="42"/>
  <c r="C33" i="42" s="1"/>
  <c r="B15" i="42"/>
  <c r="F11" i="42"/>
  <c r="D33" i="42" l="1"/>
  <c r="B33" i="42"/>
  <c r="O3" i="13" s="1"/>
  <c r="P3" i="13"/>
  <c r="Q3" i="13"/>
  <c r="F24" i="42"/>
  <c r="F15" i="42"/>
  <c r="F29" i="42"/>
  <c r="F33" i="42" l="1"/>
  <c r="P3" i="33"/>
  <c r="P4" i="33"/>
  <c r="P5" i="33"/>
  <c r="P6" i="33"/>
  <c r="P7" i="33"/>
  <c r="B62" i="42" l="1"/>
  <c r="O19" i="33"/>
  <c r="S19" i="33" s="1"/>
  <c r="W19" i="33" s="1"/>
  <c r="R4" i="33"/>
  <c r="R5" i="33"/>
  <c r="R6" i="33"/>
  <c r="R7" i="33"/>
  <c r="R3" i="33"/>
  <c r="P4" i="31"/>
  <c r="Q19" i="33" l="1"/>
  <c r="U19" i="33" s="1"/>
  <c r="Y19" i="33" s="1"/>
  <c r="Z19" i="33"/>
  <c r="C15" i="13"/>
  <c r="O15" i="13" s="1"/>
  <c r="D15" i="14"/>
  <c r="E15" i="14" s="1"/>
  <c r="P19" i="33"/>
  <c r="P18" i="31"/>
  <c r="Q18" i="31"/>
  <c r="O18" i="31"/>
  <c r="A8" i="13"/>
  <c r="A9" i="13"/>
  <c r="A10" i="13"/>
  <c r="A11" i="13"/>
  <c r="A12" i="13"/>
  <c r="A13" i="13"/>
  <c r="A14" i="13"/>
  <c r="A16" i="13"/>
  <c r="A17" i="13"/>
  <c r="A8" i="14"/>
  <c r="A9" i="14"/>
  <c r="A10" i="14"/>
  <c r="A11" i="14"/>
  <c r="A12" i="14"/>
  <c r="A13" i="14"/>
  <c r="A14" i="14"/>
  <c r="A16" i="14"/>
  <c r="A17" i="14"/>
  <c r="A7" i="14"/>
  <c r="B8" i="9"/>
  <c r="M8" i="9" s="1"/>
  <c r="A7" i="13"/>
  <c r="J12" i="33"/>
  <c r="J13" i="33"/>
  <c r="J14" i="33"/>
  <c r="J15" i="33"/>
  <c r="J16" i="33"/>
  <c r="J17" i="33"/>
  <c r="J18" i="33"/>
  <c r="J20" i="33"/>
  <c r="J21" i="33"/>
  <c r="J11" i="33"/>
  <c r="BD13" i="35"/>
  <c r="BG13" i="35" s="1"/>
  <c r="BD12" i="35"/>
  <c r="BG12" i="35" s="1"/>
  <c r="BD11" i="35"/>
  <c r="BG11" i="35" s="1"/>
  <c r="BD10" i="35"/>
  <c r="BG10" i="35" s="1"/>
  <c r="BD9" i="35"/>
  <c r="BG9" i="35" s="1"/>
  <c r="BD8" i="35"/>
  <c r="BG8" i="35" s="1"/>
  <c r="BD7" i="35"/>
  <c r="BG7" i="35" s="1"/>
  <c r="BD6" i="35"/>
  <c r="BG6" i="35" s="1"/>
  <c r="B7" i="13"/>
  <c r="T19" i="33" l="1"/>
  <c r="X19" i="33" s="1"/>
  <c r="E15" i="13" s="1"/>
  <c r="R19" i="33"/>
  <c r="V19" i="33" s="1"/>
  <c r="AB19" i="33"/>
  <c r="H15" i="14"/>
  <c r="I15" i="14" s="1"/>
  <c r="G15" i="13"/>
  <c r="Q15" i="13" s="1"/>
  <c r="R18" i="31"/>
  <c r="E16" i="9" s="1"/>
  <c r="F16" i="9" s="1"/>
  <c r="J15" i="14"/>
  <c r="I15" i="13"/>
  <c r="S18" i="31"/>
  <c r="N15" i="14"/>
  <c r="M15" i="13"/>
  <c r="U18" i="31"/>
  <c r="O15" i="14" s="1"/>
  <c r="L15" i="14"/>
  <c r="K15" i="13"/>
  <c r="T18" i="31"/>
  <c r="M15" i="14" s="1"/>
  <c r="W13" i="31"/>
  <c r="W12" i="31"/>
  <c r="W10" i="31"/>
  <c r="W20" i="31"/>
  <c r="W11" i="31"/>
  <c r="W19" i="31"/>
  <c r="W17" i="31"/>
  <c r="W16" i="31"/>
  <c r="W15" i="31"/>
  <c r="W14" i="31"/>
  <c r="B7" i="14"/>
  <c r="B10" i="13"/>
  <c r="B10" i="14"/>
  <c r="B9" i="13"/>
  <c r="B9" i="14"/>
  <c r="B16" i="13"/>
  <c r="B16" i="14"/>
  <c r="D11" i="13"/>
  <c r="B8" i="13"/>
  <c r="B8" i="14"/>
  <c r="B14" i="13"/>
  <c r="B14" i="14"/>
  <c r="B13" i="13"/>
  <c r="B13" i="14"/>
  <c r="D7" i="13"/>
  <c r="D9" i="13"/>
  <c r="B12" i="13"/>
  <c r="B12" i="14"/>
  <c r="B17" i="13"/>
  <c r="B17" i="14"/>
  <c r="B11" i="13"/>
  <c r="B11" i="14"/>
  <c r="D10" i="13"/>
  <c r="D8" i="13"/>
  <c r="D16" i="13"/>
  <c r="D14" i="13"/>
  <c r="D13" i="13"/>
  <c r="D12" i="13"/>
  <c r="N15" i="33"/>
  <c r="AA19" i="33" l="1"/>
  <c r="F15" i="14"/>
  <c r="G15" i="14" s="1"/>
  <c r="P15" i="13"/>
  <c r="V18" i="31"/>
  <c r="K15" i="14"/>
  <c r="U15" i="13"/>
  <c r="L12" i="13"/>
  <c r="J12" i="13"/>
  <c r="N12" i="13"/>
  <c r="N14" i="13"/>
  <c r="L14" i="13"/>
  <c r="J14" i="13"/>
  <c r="N9" i="13"/>
  <c r="L9" i="13"/>
  <c r="J9" i="13"/>
  <c r="N8" i="13"/>
  <c r="L8" i="13"/>
  <c r="J8" i="13"/>
  <c r="N11" i="13"/>
  <c r="L11" i="13"/>
  <c r="J11" i="13"/>
  <c r="N17" i="13"/>
  <c r="L17" i="13"/>
  <c r="J17" i="13"/>
  <c r="N13" i="13"/>
  <c r="L13" i="13"/>
  <c r="J13" i="13"/>
  <c r="J16" i="13"/>
  <c r="N16" i="13"/>
  <c r="L16" i="13"/>
  <c r="N10" i="13"/>
  <c r="L10" i="13"/>
  <c r="J10" i="13"/>
  <c r="N7" i="13"/>
  <c r="L7" i="13"/>
  <c r="J7" i="13"/>
  <c r="F8" i="13"/>
  <c r="H8" i="13" s="1"/>
  <c r="F10" i="13"/>
  <c r="H10" i="13" s="1"/>
  <c r="F12" i="13"/>
  <c r="H12" i="13" s="1"/>
  <c r="F11" i="13"/>
  <c r="H11" i="13" s="1"/>
  <c r="F17" i="13"/>
  <c r="H17" i="13" s="1"/>
  <c r="F13" i="13"/>
  <c r="H13" i="13" s="1"/>
  <c r="F14" i="13"/>
  <c r="H14" i="13" s="1"/>
  <c r="F16" i="13"/>
  <c r="F7" i="13"/>
  <c r="H7" i="13" s="1"/>
  <c r="F9" i="13"/>
  <c r="H9" i="13" s="1"/>
  <c r="BD5" i="35"/>
  <c r="BG5" i="35" s="1"/>
  <c r="AF6" i="35"/>
  <c r="AF7" i="35"/>
  <c r="AF8" i="35"/>
  <c r="AF9" i="35"/>
  <c r="AF10" i="35"/>
  <c r="AF11" i="35"/>
  <c r="AF12" i="35"/>
  <c r="AF13" i="35"/>
  <c r="F6" i="37"/>
  <c r="F7" i="37"/>
  <c r="F8" i="37"/>
  <c r="F9" i="37"/>
  <c r="F10" i="37"/>
  <c r="F11" i="37"/>
  <c r="F12" i="37"/>
  <c r="F13" i="37"/>
  <c r="F14" i="37"/>
  <c r="F15" i="37"/>
  <c r="F16" i="37"/>
  <c r="F17" i="37"/>
  <c r="F18" i="37"/>
  <c r="F19" i="37"/>
  <c r="F20" i="37"/>
  <c r="F21" i="37"/>
  <c r="F22" i="37"/>
  <c r="F23" i="37"/>
  <c r="F24" i="37"/>
  <c r="F5" i="37"/>
  <c r="E3" i="9"/>
  <c r="AH33" i="35" l="1"/>
  <c r="AU33" i="35" s="1"/>
  <c r="AN34" i="35"/>
  <c r="BA34" i="35" s="1"/>
  <c r="AJ17" i="35"/>
  <c r="AW17" i="35" s="1"/>
  <c r="AK20" i="35"/>
  <c r="AX20" i="35" s="1"/>
  <c r="AN33" i="35"/>
  <c r="BA33" i="35" s="1"/>
  <c r="AN17" i="35"/>
  <c r="BA17" i="35" s="1"/>
  <c r="AL20" i="35"/>
  <c r="AY20" i="35" s="1"/>
  <c r="AJ29" i="35"/>
  <c r="AW29" i="35" s="1"/>
  <c r="AP33" i="35"/>
  <c r="BC33" i="35" s="1"/>
  <c r="AM20" i="35"/>
  <c r="AZ20" i="35" s="1"/>
  <c r="AI34" i="35"/>
  <c r="AV34" i="35" s="1"/>
  <c r="AN20" i="35"/>
  <c r="BA20" i="35" s="1"/>
  <c r="AJ34" i="35"/>
  <c r="AW34" i="35" s="1"/>
  <c r="AK34" i="35"/>
  <c r="AX34" i="35" s="1"/>
  <c r="AM28" i="35"/>
  <c r="AZ28" i="35" s="1"/>
  <c r="AL34" i="35"/>
  <c r="AY34" i="35" s="1"/>
  <c r="AM34" i="35"/>
  <c r="AZ34" i="35" s="1"/>
  <c r="AI20" i="35"/>
  <c r="AV20" i="35" s="1"/>
  <c r="AL17" i="35"/>
  <c r="AY17" i="35" s="1"/>
  <c r="AO29" i="35"/>
  <c r="BB29" i="35" s="1"/>
  <c r="AH28" i="35"/>
  <c r="AU28" i="35" s="1"/>
  <c r="AL21" i="35"/>
  <c r="AY21" i="35" s="1"/>
  <c r="AO17" i="35"/>
  <c r="BB17" i="35" s="1"/>
  <c r="AO19" i="35"/>
  <c r="BB19" i="35" s="1"/>
  <c r="AP20" i="35"/>
  <c r="BC20" i="35" s="1"/>
  <c r="AN28" i="35"/>
  <c r="BA28" i="35" s="1"/>
  <c r="AJ20" i="35"/>
  <c r="AW20" i="35" s="1"/>
  <c r="AM33" i="35"/>
  <c r="AZ33" i="35" s="1"/>
  <c r="AH29" i="35"/>
  <c r="AU29" i="35" s="1"/>
  <c r="AP28" i="35"/>
  <c r="BC28" i="35" s="1"/>
  <c r="AG33" i="35"/>
  <c r="AT33" i="35" s="1"/>
  <c r="AP34" i="35"/>
  <c r="BC34" i="35" s="1"/>
  <c r="AM21" i="35"/>
  <c r="AZ21" i="35" s="1"/>
  <c r="AH17" i="35"/>
  <c r="AU17" i="35" s="1"/>
  <c r="AI19" i="35"/>
  <c r="AV19" i="35" s="1"/>
  <c r="AH20" i="35"/>
  <c r="AU20" i="35" s="1"/>
  <c r="AN19" i="35"/>
  <c r="BA19" i="35" s="1"/>
  <c r="AG20" i="35"/>
  <c r="AT20" i="35" s="1"/>
  <c r="AK29" i="35"/>
  <c r="AX29" i="35" s="1"/>
  <c r="AI28" i="35"/>
  <c r="AV28" i="35" s="1"/>
  <c r="AO33" i="35"/>
  <c r="BB33" i="35" s="1"/>
  <c r="AH34" i="35"/>
  <c r="AU34" i="35" s="1"/>
  <c r="AN21" i="35"/>
  <c r="BA21" i="35" s="1"/>
  <c r="AG21" i="35"/>
  <c r="AT21" i="35" s="1"/>
  <c r="AP17" i="35"/>
  <c r="BC17" i="35" s="1"/>
  <c r="AJ19" i="35"/>
  <c r="AW19" i="35" s="1"/>
  <c r="AK33" i="35"/>
  <c r="AX33" i="35" s="1"/>
  <c r="AH19" i="35"/>
  <c r="AU19" i="35" s="1"/>
  <c r="AN29" i="35"/>
  <c r="BA29" i="35" s="1"/>
  <c r="AJ28" i="35"/>
  <c r="AW28" i="35" s="1"/>
  <c r="AI33" i="35"/>
  <c r="AV33" i="35" s="1"/>
  <c r="AO34" i="35"/>
  <c r="BB34" i="35" s="1"/>
  <c r="AP19" i="35"/>
  <c r="BC19" i="35" s="1"/>
  <c r="AO21" i="35"/>
  <c r="BB21" i="35" s="1"/>
  <c r="AI17" i="35"/>
  <c r="AV17" i="35" s="1"/>
  <c r="AK19" i="35"/>
  <c r="AX19" i="35" s="1"/>
  <c r="AO20" i="35"/>
  <c r="BB20" i="35" s="1"/>
  <c r="AL19" i="35"/>
  <c r="AY19" i="35" s="1"/>
  <c r="AG34" i="35"/>
  <c r="AT34" i="35" s="1"/>
  <c r="AI29" i="35"/>
  <c r="AV29" i="35" s="1"/>
  <c r="AP29" i="35"/>
  <c r="BC29" i="35" s="1"/>
  <c r="AK28" i="35"/>
  <c r="AX28" i="35" s="1"/>
  <c r="AJ33" i="35"/>
  <c r="AW33" i="35" s="1"/>
  <c r="AI21" i="35"/>
  <c r="AV21" i="35" s="1"/>
  <c r="AK17" i="35"/>
  <c r="AX17" i="35" s="1"/>
  <c r="AM19" i="35"/>
  <c r="AZ19" i="35" s="1"/>
  <c r="AJ21" i="35"/>
  <c r="AW21" i="35" s="1"/>
  <c r="AM29" i="35"/>
  <c r="AZ29" i="35" s="1"/>
  <c r="AG28" i="35"/>
  <c r="AT28" i="35" s="1"/>
  <c r="AL33" i="35"/>
  <c r="AY33" i="35" s="1"/>
  <c r="AM17" i="35"/>
  <c r="AZ17" i="35" s="1"/>
  <c r="AL28" i="35"/>
  <c r="AY28" i="35" s="1"/>
  <c r="AH21" i="35"/>
  <c r="AU21" i="35" s="1"/>
  <c r="AG29" i="35"/>
  <c r="AT29" i="35" s="1"/>
  <c r="AO28" i="35"/>
  <c r="BB28" i="35" s="1"/>
  <c r="AP21" i="35"/>
  <c r="BC21" i="35" s="1"/>
  <c r="AK21" i="35"/>
  <c r="AX21" i="35" s="1"/>
  <c r="AG17" i="35"/>
  <c r="AT17" i="35" s="1"/>
  <c r="AG19" i="35"/>
  <c r="AT19" i="35" s="1"/>
  <c r="AL29" i="35"/>
  <c r="AY29" i="35" s="1"/>
  <c r="AK35" i="35"/>
  <c r="AX35" i="35" s="1"/>
  <c r="AO36" i="35"/>
  <c r="BB36" i="35" s="1"/>
  <c r="AJ37" i="35"/>
  <c r="AW37" i="35" s="1"/>
  <c r="AG31" i="35"/>
  <c r="AT31" i="35" s="1"/>
  <c r="AN22" i="35"/>
  <c r="BA22" i="35" s="1"/>
  <c r="AL22" i="35"/>
  <c r="AY22" i="35" s="1"/>
  <c r="AI30" i="35"/>
  <c r="AV30" i="35" s="1"/>
  <c r="AP30" i="35"/>
  <c r="BC30" i="35" s="1"/>
  <c r="AJ24" i="35"/>
  <c r="AW24" i="35" s="1"/>
  <c r="AG27" i="35"/>
  <c r="AT27" i="35" s="1"/>
  <c r="AI27" i="35"/>
  <c r="AV27" i="35" s="1"/>
  <c r="AO26" i="35"/>
  <c r="BB26" i="35" s="1"/>
  <c r="AK23" i="35"/>
  <c r="AX23" i="35" s="1"/>
  <c r="AI23" i="35"/>
  <c r="AV23" i="35" s="1"/>
  <c r="AG32" i="35"/>
  <c r="AT32" i="35" s="1"/>
  <c r="AN25" i="35"/>
  <c r="BA25" i="35" s="1"/>
  <c r="AO15" i="35"/>
  <c r="BB15" i="35" s="1"/>
  <c r="AK18" i="35"/>
  <c r="AX18" i="35" s="1"/>
  <c r="AO14" i="35"/>
  <c r="BB14" i="35" s="1"/>
  <c r="AH16" i="35"/>
  <c r="AU16" i="35" s="1"/>
  <c r="AG16" i="35"/>
  <c r="AT16" i="35" s="1"/>
  <c r="AN35" i="35"/>
  <c r="BA35" i="35" s="1"/>
  <c r="AL35" i="35"/>
  <c r="AY35" i="35" s="1"/>
  <c r="AH36" i="35"/>
  <c r="AU36" i="35" s="1"/>
  <c r="AK37" i="35"/>
  <c r="AX37" i="35" s="1"/>
  <c r="AO31" i="35"/>
  <c r="BB31" i="35" s="1"/>
  <c r="AG22" i="35"/>
  <c r="AT22" i="35" s="1"/>
  <c r="AM22" i="35"/>
  <c r="AZ22" i="35" s="1"/>
  <c r="AJ30" i="35"/>
  <c r="AW30" i="35" s="1"/>
  <c r="AK24" i="35"/>
  <c r="AX24" i="35" s="1"/>
  <c r="AO27" i="35"/>
  <c r="BB27" i="35" s="1"/>
  <c r="AP27" i="35"/>
  <c r="BC27" i="35" s="1"/>
  <c r="AH26" i="35"/>
  <c r="AU26" i="35" s="1"/>
  <c r="AL23" i="35"/>
  <c r="AY23" i="35" s="1"/>
  <c r="AJ23" i="35"/>
  <c r="AW23" i="35" s="1"/>
  <c r="AO32" i="35"/>
  <c r="BB32" i="35" s="1"/>
  <c r="AM25" i="35"/>
  <c r="AZ25" i="35" s="1"/>
  <c r="AO25" i="35"/>
  <c r="BB25" i="35" s="1"/>
  <c r="AP15" i="35"/>
  <c r="BC15" i="35" s="1"/>
  <c r="AJ18" i="35"/>
  <c r="AW18" i="35" s="1"/>
  <c r="AG18" i="35"/>
  <c r="AT18" i="35" s="1"/>
  <c r="AH14" i="35"/>
  <c r="AU14" i="35" s="1"/>
  <c r="AP16" i="35"/>
  <c r="BC16" i="35" s="1"/>
  <c r="AO16" i="35"/>
  <c r="BB16" i="35" s="1"/>
  <c r="AP26" i="35"/>
  <c r="BC26" i="35" s="1"/>
  <c r="AI18" i="35"/>
  <c r="AV18" i="35" s="1"/>
  <c r="AI16" i="35"/>
  <c r="AV16" i="35" s="1"/>
  <c r="AG35" i="35"/>
  <c r="AT35" i="35" s="1"/>
  <c r="AM35" i="35"/>
  <c r="AZ35" i="35" s="1"/>
  <c r="AP36" i="35"/>
  <c r="BC36" i="35" s="1"/>
  <c r="AL37" i="35"/>
  <c r="AY37" i="35" s="1"/>
  <c r="AI31" i="35"/>
  <c r="AV31" i="35" s="1"/>
  <c r="AO22" i="35"/>
  <c r="BB22" i="35" s="1"/>
  <c r="AL30" i="35"/>
  <c r="AY30" i="35" s="1"/>
  <c r="AL24" i="35"/>
  <c r="AY24" i="35" s="1"/>
  <c r="AJ27" i="35"/>
  <c r="AW27" i="35" s="1"/>
  <c r="AM23" i="35"/>
  <c r="AZ23" i="35" s="1"/>
  <c r="AH32" i="35"/>
  <c r="AU32" i="35" s="1"/>
  <c r="AH25" i="35"/>
  <c r="AU25" i="35" s="1"/>
  <c r="AG25" i="35"/>
  <c r="AT25" i="35" s="1"/>
  <c r="AK15" i="35"/>
  <c r="AX15" i="35" s="1"/>
  <c r="AI15" i="35"/>
  <c r="AV15" i="35" s="1"/>
  <c r="AL18" i="35"/>
  <c r="AY18" i="35" s="1"/>
  <c r="AP14" i="35"/>
  <c r="BC14" i="35" s="1"/>
  <c r="AO35" i="35"/>
  <c r="BB35" i="35" s="1"/>
  <c r="AK36" i="35"/>
  <c r="AX36" i="35" s="1"/>
  <c r="AI36" i="35"/>
  <c r="AV36" i="35" s="1"/>
  <c r="AM37" i="35"/>
  <c r="AZ37" i="35" s="1"/>
  <c r="AJ31" i="35"/>
  <c r="AW31" i="35" s="1"/>
  <c r="AH22" i="35"/>
  <c r="AU22" i="35" s="1"/>
  <c r="AO30" i="35"/>
  <c r="BB30" i="35" s="1"/>
  <c r="AM24" i="35"/>
  <c r="AZ24" i="35" s="1"/>
  <c r="AK27" i="35"/>
  <c r="AX27" i="35" s="1"/>
  <c r="AK26" i="35"/>
  <c r="AX26" i="35" s="1"/>
  <c r="AN23" i="35"/>
  <c r="BA23" i="35" s="1"/>
  <c r="AI32" i="35"/>
  <c r="AV32" i="35" s="1"/>
  <c r="AP25" i="35"/>
  <c r="BC25" i="35" s="1"/>
  <c r="AL15" i="35"/>
  <c r="AY15" i="35" s="1"/>
  <c r="AJ15" i="35"/>
  <c r="AW15" i="35" s="1"/>
  <c r="AM18" i="35"/>
  <c r="AZ18" i="35" s="1"/>
  <c r="AI14" i="35"/>
  <c r="AV14" i="35" s="1"/>
  <c r="AJ16" i="35"/>
  <c r="AW16" i="35" s="1"/>
  <c r="AG36" i="35"/>
  <c r="AT36" i="35" s="1"/>
  <c r="AP31" i="35"/>
  <c r="BC31" i="35" s="1"/>
  <c r="AM30" i="35"/>
  <c r="AZ30" i="35" s="1"/>
  <c r="AG26" i="35"/>
  <c r="AT26" i="35" s="1"/>
  <c r="AL25" i="35"/>
  <c r="AY25" i="35" s="1"/>
  <c r="AN16" i="35"/>
  <c r="BA16" i="35" s="1"/>
  <c r="AH35" i="35"/>
  <c r="AU35" i="35" s="1"/>
  <c r="AL36" i="35"/>
  <c r="AY36" i="35" s="1"/>
  <c r="AJ36" i="35"/>
  <c r="AW36" i="35" s="1"/>
  <c r="AG37" i="35"/>
  <c r="AT37" i="35" s="1"/>
  <c r="AM31" i="35"/>
  <c r="AZ31" i="35" s="1"/>
  <c r="AP22" i="35"/>
  <c r="BC22" i="35" s="1"/>
  <c r="AG30" i="35"/>
  <c r="AT30" i="35" s="1"/>
  <c r="AN24" i="35"/>
  <c r="BA24" i="35" s="1"/>
  <c r="AL27" i="35"/>
  <c r="AY27" i="35" s="1"/>
  <c r="AJ26" i="35"/>
  <c r="AW26" i="35" s="1"/>
  <c r="AL26" i="35"/>
  <c r="AY26" i="35" s="1"/>
  <c r="AG23" i="35"/>
  <c r="AT23" i="35" s="1"/>
  <c r="AJ32" i="35"/>
  <c r="AW32" i="35" s="1"/>
  <c r="AK32" i="35"/>
  <c r="AX32" i="35" s="1"/>
  <c r="AI25" i="35"/>
  <c r="AV25" i="35" s="1"/>
  <c r="AM15" i="35"/>
  <c r="AZ15" i="35" s="1"/>
  <c r="AN18" i="35"/>
  <c r="BA18" i="35" s="1"/>
  <c r="AK14" i="35"/>
  <c r="AX14" i="35" s="1"/>
  <c r="AK16" i="35"/>
  <c r="AX16" i="35" s="1"/>
  <c r="AJ35" i="35"/>
  <c r="AW35" i="35" s="1"/>
  <c r="AN31" i="35"/>
  <c r="BA31" i="35" s="1"/>
  <c r="AN30" i="35"/>
  <c r="BA30" i="35" s="1"/>
  <c r="AH27" i="35"/>
  <c r="AU27" i="35" s="1"/>
  <c r="AM14" i="35"/>
  <c r="AZ14" i="35" s="1"/>
  <c r="AP35" i="35"/>
  <c r="BC35" i="35" s="1"/>
  <c r="AM36" i="35"/>
  <c r="AZ36" i="35" s="1"/>
  <c r="AH37" i="35"/>
  <c r="AU37" i="35" s="1"/>
  <c r="AO37" i="35"/>
  <c r="BB37" i="35" s="1"/>
  <c r="AH31" i="35"/>
  <c r="AU31" i="35" s="1"/>
  <c r="AI22" i="35"/>
  <c r="AV22" i="35" s="1"/>
  <c r="AH30" i="35"/>
  <c r="AU30" i="35" s="1"/>
  <c r="AG24" i="35"/>
  <c r="AT24" i="35" s="1"/>
  <c r="AM27" i="35"/>
  <c r="AZ27" i="35" s="1"/>
  <c r="AM26" i="35"/>
  <c r="AZ26" i="35" s="1"/>
  <c r="AI26" i="35"/>
  <c r="AV26" i="35" s="1"/>
  <c r="AO23" i="35"/>
  <c r="BB23" i="35" s="1"/>
  <c r="AL32" i="35"/>
  <c r="AY32" i="35" s="1"/>
  <c r="AP32" i="35"/>
  <c r="BC32" i="35" s="1"/>
  <c r="AJ25" i="35"/>
  <c r="AW25" i="35" s="1"/>
  <c r="AN15" i="35"/>
  <c r="BA15" i="35" s="1"/>
  <c r="AH18" i="35"/>
  <c r="AU18" i="35" s="1"/>
  <c r="AJ14" i="35"/>
  <c r="AW14" i="35" s="1"/>
  <c r="AL16" i="35"/>
  <c r="AY16" i="35" s="1"/>
  <c r="AI37" i="35"/>
  <c r="AV37" i="35" s="1"/>
  <c r="AO24" i="35"/>
  <c r="BB24" i="35" s="1"/>
  <c r="AP23" i="35"/>
  <c r="BC23" i="35" s="1"/>
  <c r="AG15" i="35"/>
  <c r="AT15" i="35" s="1"/>
  <c r="AG14" i="35"/>
  <c r="AT14" i="35" s="1"/>
  <c r="AI35" i="35"/>
  <c r="AV35" i="35" s="1"/>
  <c r="AN36" i="35"/>
  <c r="BA36" i="35" s="1"/>
  <c r="AP37" i="35"/>
  <c r="BC37" i="35" s="1"/>
  <c r="AN37" i="35"/>
  <c r="BA37" i="35" s="1"/>
  <c r="AK31" i="35"/>
  <c r="AX31" i="35" s="1"/>
  <c r="AL31" i="35"/>
  <c r="AY31" i="35" s="1"/>
  <c r="AJ22" i="35"/>
  <c r="AW22" i="35" s="1"/>
  <c r="AK30" i="35"/>
  <c r="AX30" i="35" s="1"/>
  <c r="AH24" i="35"/>
  <c r="AU24" i="35" s="1"/>
  <c r="AI24" i="35"/>
  <c r="AV24" i="35" s="1"/>
  <c r="AN27" i="35"/>
  <c r="BA27" i="35" s="1"/>
  <c r="AN26" i="35"/>
  <c r="BA26" i="35" s="1"/>
  <c r="AH23" i="35"/>
  <c r="AU23" i="35" s="1"/>
  <c r="AM32" i="35"/>
  <c r="AZ32" i="35" s="1"/>
  <c r="AK25" i="35"/>
  <c r="AX25" i="35" s="1"/>
  <c r="AH15" i="35"/>
  <c r="AU15" i="35" s="1"/>
  <c r="AP18" i="35"/>
  <c r="BC18" i="35" s="1"/>
  <c r="AN14" i="35"/>
  <c r="BA14" i="35" s="1"/>
  <c r="AL14" i="35"/>
  <c r="AY14" i="35" s="1"/>
  <c r="AM16" i="35"/>
  <c r="AZ16" i="35" s="1"/>
  <c r="AK22" i="35"/>
  <c r="AX22" i="35" s="1"/>
  <c r="AP24" i="35"/>
  <c r="BC24" i="35" s="1"/>
  <c r="AN32" i="35"/>
  <c r="BA32" i="35" s="1"/>
  <c r="AO18" i="35"/>
  <c r="BB18" i="35" s="1"/>
  <c r="V15" i="13"/>
  <c r="H16" i="13"/>
  <c r="N32" i="70"/>
  <c r="N33" i="70"/>
  <c r="N34" i="70"/>
  <c r="N31" i="70"/>
  <c r="N35" i="70"/>
  <c r="C8" i="9"/>
  <c r="AI6" i="35"/>
  <c r="AV6" i="35" s="1"/>
  <c r="AJ6" i="35"/>
  <c r="AW6" i="35" s="1"/>
  <c r="AK6" i="35"/>
  <c r="AX6" i="35" s="1"/>
  <c r="AL6" i="35"/>
  <c r="AY6" i="35" s="1"/>
  <c r="AM6" i="35"/>
  <c r="AZ6" i="35" s="1"/>
  <c r="AN6" i="35"/>
  <c r="BA6" i="35" s="1"/>
  <c r="AG6" i="35"/>
  <c r="AT6" i="35" s="1"/>
  <c r="AO6" i="35"/>
  <c r="BB6" i="35" s="1"/>
  <c r="AH6" i="35"/>
  <c r="AU6" i="35" s="1"/>
  <c r="AP6" i="35"/>
  <c r="BC6" i="35" s="1"/>
  <c r="AM8" i="35"/>
  <c r="AZ8" i="35" s="1"/>
  <c r="AN8" i="35"/>
  <c r="BA8" i="35" s="1"/>
  <c r="AG8" i="35"/>
  <c r="AT8" i="35" s="1"/>
  <c r="AO8" i="35"/>
  <c r="BB8" i="35" s="1"/>
  <c r="AH8" i="35"/>
  <c r="AU8" i="35" s="1"/>
  <c r="AP8" i="35"/>
  <c r="BC8" i="35" s="1"/>
  <c r="AI8" i="35"/>
  <c r="AV8" i="35" s="1"/>
  <c r="AJ8" i="35"/>
  <c r="AW8" i="35" s="1"/>
  <c r="AK8" i="35"/>
  <c r="AX8" i="35" s="1"/>
  <c r="AL8" i="35"/>
  <c r="AY8" i="35" s="1"/>
  <c r="AK13" i="35"/>
  <c r="AX13" i="35" s="1"/>
  <c r="AL13" i="35"/>
  <c r="AY13" i="35" s="1"/>
  <c r="AM13" i="35"/>
  <c r="AZ13" i="35" s="1"/>
  <c r="AN13" i="35"/>
  <c r="BA13" i="35" s="1"/>
  <c r="AG13" i="35"/>
  <c r="AT13" i="35" s="1"/>
  <c r="AO13" i="35"/>
  <c r="BB13" i="35" s="1"/>
  <c r="AH13" i="35"/>
  <c r="AU13" i="35" s="1"/>
  <c r="AP13" i="35"/>
  <c r="BC13" i="35" s="1"/>
  <c r="AI13" i="35"/>
  <c r="AV13" i="35" s="1"/>
  <c r="AJ13" i="35"/>
  <c r="AW13" i="35" s="1"/>
  <c r="AO5" i="35"/>
  <c r="BB5" i="35" s="1"/>
  <c r="AG5" i="35"/>
  <c r="AT5" i="35" s="1"/>
  <c r="AN5" i="35"/>
  <c r="BA5" i="35" s="1"/>
  <c r="AM5" i="35"/>
  <c r="AZ5" i="35" s="1"/>
  <c r="AL5" i="35"/>
  <c r="AY5" i="35" s="1"/>
  <c r="AK5" i="35"/>
  <c r="AX5" i="35" s="1"/>
  <c r="AJ5" i="35"/>
  <c r="AW5" i="35" s="1"/>
  <c r="G32" i="70" s="1"/>
  <c r="AI5" i="35"/>
  <c r="AV5" i="35" s="1"/>
  <c r="AP5" i="35"/>
  <c r="BC5" i="35" s="1"/>
  <c r="AH5" i="35"/>
  <c r="AU5" i="35" s="1"/>
  <c r="AK9" i="35"/>
  <c r="AX9" i="35" s="1"/>
  <c r="AL9" i="35"/>
  <c r="AY9" i="35" s="1"/>
  <c r="AM9" i="35"/>
  <c r="AZ9" i="35" s="1"/>
  <c r="AN9" i="35"/>
  <c r="BA9" i="35" s="1"/>
  <c r="AG9" i="35"/>
  <c r="AT9" i="35" s="1"/>
  <c r="AO9" i="35"/>
  <c r="BB9" i="35" s="1"/>
  <c r="AH9" i="35"/>
  <c r="AU9" i="35" s="1"/>
  <c r="AP9" i="35"/>
  <c r="BC9" i="35" s="1"/>
  <c r="AI9" i="35"/>
  <c r="AV9" i="35" s="1"/>
  <c r="AJ9" i="35"/>
  <c r="AW9" i="35" s="1"/>
  <c r="AM12" i="35"/>
  <c r="AZ12" i="35" s="1"/>
  <c r="AN12" i="35"/>
  <c r="BA12" i="35" s="1"/>
  <c r="AG12" i="35"/>
  <c r="AT12" i="35" s="1"/>
  <c r="AO12" i="35"/>
  <c r="BB12" i="35" s="1"/>
  <c r="AH12" i="35"/>
  <c r="AU12" i="35" s="1"/>
  <c r="AP12" i="35"/>
  <c r="BC12" i="35" s="1"/>
  <c r="AI12" i="35"/>
  <c r="AV12" i="35" s="1"/>
  <c r="AJ12" i="35"/>
  <c r="AW12" i="35" s="1"/>
  <c r="AK12" i="35"/>
  <c r="AX12" i="35" s="1"/>
  <c r="AL12" i="35"/>
  <c r="AY12" i="35" s="1"/>
  <c r="AG11" i="35"/>
  <c r="AT11" i="35" s="1"/>
  <c r="AO11" i="35"/>
  <c r="BB11" i="35" s="1"/>
  <c r="AH11" i="35"/>
  <c r="AU11" i="35" s="1"/>
  <c r="AP11" i="35"/>
  <c r="BC11" i="35" s="1"/>
  <c r="AI11" i="35"/>
  <c r="AV11" i="35" s="1"/>
  <c r="AJ11" i="35"/>
  <c r="AW11" i="35" s="1"/>
  <c r="AK11" i="35"/>
  <c r="AX11" i="35" s="1"/>
  <c r="AL11" i="35"/>
  <c r="AY11" i="35" s="1"/>
  <c r="AM11" i="35"/>
  <c r="AZ11" i="35" s="1"/>
  <c r="AN11" i="35"/>
  <c r="BA11" i="35" s="1"/>
  <c r="AI10" i="35"/>
  <c r="AV10" i="35" s="1"/>
  <c r="AJ10" i="35"/>
  <c r="AW10" i="35" s="1"/>
  <c r="AK10" i="35"/>
  <c r="AX10" i="35" s="1"/>
  <c r="AL10" i="35"/>
  <c r="AY10" i="35" s="1"/>
  <c r="AM10" i="35"/>
  <c r="AZ10" i="35" s="1"/>
  <c r="AN10" i="35"/>
  <c r="BA10" i="35" s="1"/>
  <c r="AG10" i="35"/>
  <c r="AT10" i="35" s="1"/>
  <c r="AO10" i="35"/>
  <c r="BB10" i="35" s="1"/>
  <c r="AH10" i="35"/>
  <c r="AU10" i="35" s="1"/>
  <c r="AP10" i="35"/>
  <c r="BC10" i="35" s="1"/>
  <c r="AG7" i="35"/>
  <c r="AT7" i="35" s="1"/>
  <c r="AO7" i="35"/>
  <c r="BB7" i="35" s="1"/>
  <c r="AH7" i="35"/>
  <c r="AU7" i="35" s="1"/>
  <c r="AP7" i="35"/>
  <c r="BC7" i="35" s="1"/>
  <c r="AI7" i="35"/>
  <c r="AV7" i="35" s="1"/>
  <c r="AJ7" i="35"/>
  <c r="AW7" i="35" s="1"/>
  <c r="AK7" i="35"/>
  <c r="AX7" i="35" s="1"/>
  <c r="AL7" i="35"/>
  <c r="AY7" i="35" s="1"/>
  <c r="AM7" i="35"/>
  <c r="AZ7" i="35" s="1"/>
  <c r="AN7" i="35"/>
  <c r="BA7" i="35" s="1"/>
  <c r="BF36" i="35" l="1"/>
  <c r="BE24" i="35"/>
  <c r="BF27" i="35"/>
  <c r="BE35" i="35"/>
  <c r="BE36" i="35"/>
  <c r="BF29" i="35"/>
  <c r="BE17" i="35"/>
  <c r="BE20" i="35"/>
  <c r="BF33" i="35"/>
  <c r="BF22" i="35"/>
  <c r="BE15" i="35"/>
  <c r="BF25" i="35"/>
  <c r="BE30" i="35"/>
  <c r="BE19" i="35"/>
  <c r="BE33" i="35"/>
  <c r="BF19" i="35"/>
  <c r="BF34" i="35"/>
  <c r="BF18" i="35"/>
  <c r="BF32" i="35"/>
  <c r="BF31" i="35"/>
  <c r="BF15" i="35"/>
  <c r="BF30" i="35"/>
  <c r="BE16" i="35"/>
  <c r="BE28" i="35"/>
  <c r="BE29" i="35"/>
  <c r="BE23" i="35"/>
  <c r="BE37" i="35"/>
  <c r="BE25" i="35"/>
  <c r="BE22" i="35"/>
  <c r="BF26" i="35"/>
  <c r="BE31" i="35"/>
  <c r="BE21" i="35"/>
  <c r="BE26" i="35"/>
  <c r="BF23" i="35"/>
  <c r="BF37" i="35"/>
  <c r="BF21" i="35"/>
  <c r="BE34" i="35"/>
  <c r="BF20" i="35"/>
  <c r="BF17" i="35"/>
  <c r="BF14" i="35"/>
  <c r="BF16" i="35"/>
  <c r="BE32" i="35"/>
  <c r="BE27" i="35"/>
  <c r="BF28" i="35"/>
  <c r="BE14" i="35"/>
  <c r="BF35" i="35"/>
  <c r="BE18" i="35"/>
  <c r="BF24" i="35"/>
  <c r="G31" i="70"/>
  <c r="H32" i="70"/>
  <c r="F32" i="70"/>
  <c r="M32" i="70"/>
  <c r="D32" i="70"/>
  <c r="D31" i="70"/>
  <c r="K31" i="70"/>
  <c r="N36" i="70"/>
  <c r="K40" i="70" s="1"/>
  <c r="J31" i="70"/>
  <c r="I31" i="70"/>
  <c r="E31" i="70"/>
  <c r="H31" i="70"/>
  <c r="K32" i="70"/>
  <c r="M31" i="70"/>
  <c r="F31" i="70"/>
  <c r="K20" i="31"/>
  <c r="X20" i="31" s="1"/>
  <c r="M20" i="31"/>
  <c r="Q20" i="31" s="1"/>
  <c r="U20" i="31" s="1"/>
  <c r="L20" i="31"/>
  <c r="P20" i="31" s="1"/>
  <c r="T20" i="31" s="1"/>
  <c r="K16" i="31"/>
  <c r="O17" i="33" s="1"/>
  <c r="L16" i="31"/>
  <c r="P16" i="31" s="1"/>
  <c r="T16" i="31" s="1"/>
  <c r="M16" i="31"/>
  <c r="Q16" i="31" s="1"/>
  <c r="U16" i="31" s="1"/>
  <c r="K14" i="31"/>
  <c r="X14" i="31" s="1"/>
  <c r="L14" i="31"/>
  <c r="M14" i="31"/>
  <c r="Q14" i="31" s="1"/>
  <c r="U14" i="31" s="1"/>
  <c r="L11" i="31"/>
  <c r="Y11" i="31" s="1"/>
  <c r="M11" i="31"/>
  <c r="Q11" i="31" s="1"/>
  <c r="U11" i="31" s="1"/>
  <c r="K11" i="31"/>
  <c r="O11" i="31" s="1"/>
  <c r="S11" i="31" s="1"/>
  <c r="K15" i="31"/>
  <c r="X15" i="31" s="1"/>
  <c r="M15" i="31"/>
  <c r="Q15" i="31" s="1"/>
  <c r="U15" i="31" s="1"/>
  <c r="O12" i="14" s="1"/>
  <c r="L15" i="31"/>
  <c r="P15" i="31" s="1"/>
  <c r="T15" i="31" s="1"/>
  <c r="K13" i="31"/>
  <c r="O14" i="33" s="1"/>
  <c r="L13" i="31"/>
  <c r="P13" i="31" s="1"/>
  <c r="T13" i="31" s="1"/>
  <c r="M13" i="31"/>
  <c r="Z13" i="31" s="1"/>
  <c r="K19" i="31"/>
  <c r="X19" i="31" s="1"/>
  <c r="L19" i="31"/>
  <c r="P19" i="31" s="1"/>
  <c r="T19" i="31" s="1"/>
  <c r="M19" i="31"/>
  <c r="L10" i="31"/>
  <c r="Y10" i="31" s="1"/>
  <c r="K10" i="31"/>
  <c r="X10" i="31" s="1"/>
  <c r="M10" i="31"/>
  <c r="Z10" i="31" s="1"/>
  <c r="M12" i="31"/>
  <c r="Q12" i="31" s="1"/>
  <c r="U12" i="31" s="1"/>
  <c r="L12" i="31"/>
  <c r="P12" i="31" s="1"/>
  <c r="T12" i="31" s="1"/>
  <c r="K12" i="31"/>
  <c r="O13" i="33" s="1"/>
  <c r="L17" i="31"/>
  <c r="P17" i="31" s="1"/>
  <c r="T17" i="31" s="1"/>
  <c r="K17" i="31"/>
  <c r="O18" i="33" s="1"/>
  <c r="M17" i="31"/>
  <c r="Q17" i="31" s="1"/>
  <c r="U17" i="31" s="1"/>
  <c r="E32" i="70"/>
  <c r="L32" i="70"/>
  <c r="J32" i="70"/>
  <c r="L31" i="70"/>
  <c r="I33" i="70"/>
  <c r="J33" i="70"/>
  <c r="E34" i="70"/>
  <c r="H33" i="70"/>
  <c r="L34" i="70"/>
  <c r="G33" i="70"/>
  <c r="D34" i="70"/>
  <c r="F33" i="70"/>
  <c r="K34" i="70"/>
  <c r="M33" i="70"/>
  <c r="G34" i="70"/>
  <c r="J34" i="70"/>
  <c r="E33" i="70"/>
  <c r="I34" i="70"/>
  <c r="H34" i="70"/>
  <c r="L33" i="70"/>
  <c r="F34" i="70"/>
  <c r="I32" i="70"/>
  <c r="K33" i="70"/>
  <c r="D33" i="70"/>
  <c r="M34" i="70"/>
  <c r="M77" i="70"/>
  <c r="G77" i="70"/>
  <c r="J78" i="70"/>
  <c r="L76" i="70"/>
  <c r="L79" i="70"/>
  <c r="E35" i="70"/>
  <c r="E80" i="70"/>
  <c r="E77" i="70"/>
  <c r="I78" i="70"/>
  <c r="D76" i="70"/>
  <c r="J79" i="70"/>
  <c r="D79" i="70"/>
  <c r="L35" i="70"/>
  <c r="L80" i="70"/>
  <c r="D77" i="70"/>
  <c r="L77" i="70"/>
  <c r="H78" i="70"/>
  <c r="K76" i="70"/>
  <c r="I79" i="70"/>
  <c r="K79" i="70"/>
  <c r="D35" i="70"/>
  <c r="D80" i="70"/>
  <c r="H76" i="70"/>
  <c r="J76" i="70"/>
  <c r="H79" i="70"/>
  <c r="K35" i="70"/>
  <c r="K80" i="70"/>
  <c r="G78" i="70"/>
  <c r="K77" i="70"/>
  <c r="F78" i="70"/>
  <c r="G76" i="70"/>
  <c r="I76" i="70"/>
  <c r="G79" i="70"/>
  <c r="H35" i="70"/>
  <c r="H80" i="70"/>
  <c r="J35" i="70"/>
  <c r="J80" i="70"/>
  <c r="J77" i="70"/>
  <c r="D78" i="70"/>
  <c r="M78" i="70"/>
  <c r="F76" i="70"/>
  <c r="F79" i="70"/>
  <c r="G35" i="70"/>
  <c r="G80" i="70"/>
  <c r="I35" i="70"/>
  <c r="I80" i="70"/>
  <c r="I77" i="70"/>
  <c r="L78" i="70"/>
  <c r="E78" i="70"/>
  <c r="M76" i="70"/>
  <c r="M79" i="70"/>
  <c r="F35" i="70"/>
  <c r="F80" i="70"/>
  <c r="F77" i="70"/>
  <c r="H77" i="70"/>
  <c r="K78" i="70"/>
  <c r="E76" i="70"/>
  <c r="E79" i="70"/>
  <c r="M35" i="70"/>
  <c r="M80" i="70"/>
  <c r="BE12" i="35"/>
  <c r="BE6" i="35"/>
  <c r="BF10" i="35"/>
  <c r="BE11" i="35"/>
  <c r="BE9" i="35"/>
  <c r="BF9" i="35"/>
  <c r="BF13" i="35"/>
  <c r="BE8" i="35"/>
  <c r="BE7" i="35"/>
  <c r="BF5" i="35"/>
  <c r="BF8" i="35"/>
  <c r="BE10" i="35"/>
  <c r="BF12" i="35"/>
  <c r="BF7" i="35"/>
  <c r="BE5" i="35"/>
  <c r="BF11" i="35"/>
  <c r="BE13" i="35"/>
  <c r="BF6" i="35"/>
  <c r="Q19" i="31" l="1"/>
  <c r="U19" i="31" s="1"/>
  <c r="Q20" i="33"/>
  <c r="U20" i="33" s="1"/>
  <c r="Y14" i="31"/>
  <c r="P14" i="31"/>
  <c r="K11" i="13" s="1"/>
  <c r="O21" i="33"/>
  <c r="Q15" i="33"/>
  <c r="U15" i="33" s="1"/>
  <c r="Q12" i="33"/>
  <c r="U12" i="33" s="1"/>
  <c r="P18" i="33"/>
  <c r="T18" i="33" s="1"/>
  <c r="X16" i="31"/>
  <c r="N10" i="31"/>
  <c r="P14" i="33"/>
  <c r="T14" i="33" s="1"/>
  <c r="Q13" i="33"/>
  <c r="P16" i="33"/>
  <c r="T16" i="33" s="1"/>
  <c r="Z16" i="31"/>
  <c r="Q18" i="33"/>
  <c r="U18" i="33" s="1"/>
  <c r="Q21" i="33"/>
  <c r="U21" i="33" s="1"/>
  <c r="Y16" i="31"/>
  <c r="P13" i="33"/>
  <c r="T13" i="33" s="1"/>
  <c r="P17" i="33"/>
  <c r="T17" i="33" s="1"/>
  <c r="Z15" i="31"/>
  <c r="Q16" i="33"/>
  <c r="U16" i="33" s="1"/>
  <c r="Q13" i="31"/>
  <c r="M10" i="13" s="1"/>
  <c r="Q14" i="33"/>
  <c r="N15" i="31"/>
  <c r="O15" i="31"/>
  <c r="I12" i="13" s="1"/>
  <c r="O16" i="33"/>
  <c r="S16" i="33" s="1"/>
  <c r="P15" i="33"/>
  <c r="T15" i="33" s="1"/>
  <c r="N16" i="31"/>
  <c r="O16" i="31"/>
  <c r="I13" i="13" s="1"/>
  <c r="Q10" i="31"/>
  <c r="Q11" i="33"/>
  <c r="U11" i="33" s="1"/>
  <c r="N13" i="31"/>
  <c r="O13" i="31"/>
  <c r="S13" i="31" s="1"/>
  <c r="N14" i="31"/>
  <c r="O14" i="31"/>
  <c r="S14" i="31" s="1"/>
  <c r="N17" i="31"/>
  <c r="O17" i="31"/>
  <c r="S17" i="31" s="1"/>
  <c r="O11" i="33"/>
  <c r="S11" i="33" s="1"/>
  <c r="W11" i="33" s="1"/>
  <c r="O10" i="31"/>
  <c r="P10" i="31"/>
  <c r="P11" i="33"/>
  <c r="T11" i="33" s="1"/>
  <c r="N19" i="31"/>
  <c r="O19" i="31"/>
  <c r="S19" i="31" s="1"/>
  <c r="P11" i="31"/>
  <c r="T11" i="31" s="1"/>
  <c r="M8" i="14" s="1"/>
  <c r="P12" i="33"/>
  <c r="T12" i="33" s="1"/>
  <c r="N20" i="31"/>
  <c r="O20" i="31"/>
  <c r="S20" i="31" s="1"/>
  <c r="N12" i="31"/>
  <c r="O12" i="31"/>
  <c r="S12" i="31" s="1"/>
  <c r="K52" i="70"/>
  <c r="J52" i="70"/>
  <c r="I52" i="70"/>
  <c r="G36" i="70"/>
  <c r="D36" i="70"/>
  <c r="F36" i="70"/>
  <c r="L36" i="70"/>
  <c r="J36" i="70"/>
  <c r="K36" i="70"/>
  <c r="M36" i="70"/>
  <c r="I36" i="70"/>
  <c r="H36" i="70"/>
  <c r="E36" i="70"/>
  <c r="P21" i="33"/>
  <c r="T21" i="33" s="1"/>
  <c r="P20" i="33"/>
  <c r="Z11" i="31"/>
  <c r="O20" i="33"/>
  <c r="S20" i="33" s="1"/>
  <c r="N11" i="31"/>
  <c r="Y20" i="31"/>
  <c r="K13" i="13"/>
  <c r="X11" i="31"/>
  <c r="Y19" i="31"/>
  <c r="Z20" i="31"/>
  <c r="M10" i="14"/>
  <c r="Y17" i="31"/>
  <c r="Y13" i="31"/>
  <c r="N13" i="14"/>
  <c r="Z14" i="31"/>
  <c r="N12" i="14"/>
  <c r="X13" i="31"/>
  <c r="Q17" i="33"/>
  <c r="Y15" i="31"/>
  <c r="O12" i="33"/>
  <c r="S12" i="33" s="1"/>
  <c r="O15" i="33"/>
  <c r="M12" i="13"/>
  <c r="Y12" i="31"/>
  <c r="M8" i="13"/>
  <c r="O8" i="14"/>
  <c r="N8" i="14"/>
  <c r="Z19" i="31"/>
  <c r="X12" i="31"/>
  <c r="Z17" i="31"/>
  <c r="Z12" i="31"/>
  <c r="X17" i="31"/>
  <c r="S14" i="33"/>
  <c r="S17" i="33"/>
  <c r="W17" i="33" l="1"/>
  <c r="D13" i="14" s="1"/>
  <c r="E13" i="14" s="1"/>
  <c r="X11" i="33"/>
  <c r="F7" i="14" s="1"/>
  <c r="G7" i="14" s="1"/>
  <c r="Y20" i="33"/>
  <c r="H16" i="14" s="1"/>
  <c r="I16" i="14" s="1"/>
  <c r="W14" i="33"/>
  <c r="C10" i="13" s="1"/>
  <c r="O10" i="13" s="1"/>
  <c r="Y21" i="33"/>
  <c r="H17" i="14" s="1"/>
  <c r="I17" i="14" s="1"/>
  <c r="X18" i="33"/>
  <c r="F14" i="14" s="1"/>
  <c r="G14" i="14" s="1"/>
  <c r="X13" i="33"/>
  <c r="F9" i="14" s="1"/>
  <c r="G9" i="14" s="1"/>
  <c r="Y11" i="33"/>
  <c r="AB11" i="33" s="1"/>
  <c r="Y18" i="33"/>
  <c r="H14" i="14" s="1"/>
  <c r="I14" i="14" s="1"/>
  <c r="X21" i="33"/>
  <c r="F17" i="14" s="1"/>
  <c r="G17" i="14" s="1"/>
  <c r="Y15" i="33"/>
  <c r="H11" i="14" s="1"/>
  <c r="I11" i="14" s="1"/>
  <c r="Y12" i="33"/>
  <c r="AB12" i="33" s="1"/>
  <c r="X12" i="33"/>
  <c r="F8" i="14" s="1"/>
  <c r="G8" i="14" s="1"/>
  <c r="Y16" i="33"/>
  <c r="H12" i="14" s="1"/>
  <c r="I12" i="14" s="1"/>
  <c r="X16" i="33"/>
  <c r="F12" i="14" s="1"/>
  <c r="G12" i="14" s="1"/>
  <c r="W16" i="33"/>
  <c r="Z16" i="33" s="1"/>
  <c r="W12" i="33"/>
  <c r="D8" i="14" s="1"/>
  <c r="E8" i="14" s="1"/>
  <c r="W20" i="33"/>
  <c r="D16" i="14" s="1"/>
  <c r="E16" i="14" s="1"/>
  <c r="X15" i="33"/>
  <c r="F11" i="14" s="1"/>
  <c r="G11" i="14" s="1"/>
  <c r="X17" i="33"/>
  <c r="E13" i="13" s="1"/>
  <c r="P13" i="13" s="1"/>
  <c r="X14" i="33"/>
  <c r="F10" i="14" s="1"/>
  <c r="G10" i="14" s="1"/>
  <c r="R16" i="33"/>
  <c r="V16" i="33" s="1"/>
  <c r="L8" i="14"/>
  <c r="R11" i="31"/>
  <c r="E9" i="9" s="1"/>
  <c r="F9" i="9" s="1"/>
  <c r="R14" i="33"/>
  <c r="V14" i="33" s="1"/>
  <c r="D7" i="14"/>
  <c r="E7" i="14" s="1"/>
  <c r="R15" i="33"/>
  <c r="V15" i="33" s="1"/>
  <c r="K41" i="70"/>
  <c r="K42" i="70" s="1"/>
  <c r="K44" i="70"/>
  <c r="I41" i="70"/>
  <c r="J44" i="70"/>
  <c r="I44" i="70"/>
  <c r="J10" i="14"/>
  <c r="U14" i="33"/>
  <c r="R10" i="31"/>
  <c r="E8" i="9" s="1"/>
  <c r="F8" i="9" s="1"/>
  <c r="R11" i="33"/>
  <c r="V11" i="33" s="1"/>
  <c r="K8" i="13"/>
  <c r="S10" i="31"/>
  <c r="J7" i="14"/>
  <c r="I7" i="13"/>
  <c r="T14" i="31"/>
  <c r="M11" i="14" s="1"/>
  <c r="L11" i="14"/>
  <c r="C31" i="82"/>
  <c r="I25" i="82" s="1"/>
  <c r="S15" i="31"/>
  <c r="K12" i="14" s="1"/>
  <c r="J12" i="14"/>
  <c r="U10" i="31"/>
  <c r="O7" i="14" s="1"/>
  <c r="M7" i="13"/>
  <c r="N7" i="14"/>
  <c r="S16" i="31"/>
  <c r="K13" i="14" s="1"/>
  <c r="J13" i="14"/>
  <c r="U13" i="31"/>
  <c r="O10" i="14" s="1"/>
  <c r="N10" i="14"/>
  <c r="T10" i="31"/>
  <c r="M7" i="14" s="1"/>
  <c r="K7" i="13"/>
  <c r="L7" i="14"/>
  <c r="L52" i="70"/>
  <c r="J41" i="70"/>
  <c r="I40" i="70"/>
  <c r="J40" i="70"/>
  <c r="M13" i="14"/>
  <c r="R20" i="33"/>
  <c r="V20" i="33" s="1"/>
  <c r="T20" i="33"/>
  <c r="L13" i="14"/>
  <c r="K16" i="14"/>
  <c r="M16" i="13"/>
  <c r="R17" i="33"/>
  <c r="V17" i="33" s="1"/>
  <c r="I16" i="13"/>
  <c r="J16" i="14"/>
  <c r="N16" i="14"/>
  <c r="K16" i="13"/>
  <c r="M16" i="14"/>
  <c r="L16" i="14"/>
  <c r="R20" i="31"/>
  <c r="U17" i="33"/>
  <c r="O13" i="14"/>
  <c r="O16" i="14"/>
  <c r="M13" i="13"/>
  <c r="U13" i="13" s="1"/>
  <c r="R16" i="31"/>
  <c r="K10" i="13"/>
  <c r="L10" i="14"/>
  <c r="R13" i="31"/>
  <c r="K10" i="14"/>
  <c r="I10" i="13"/>
  <c r="R12" i="33"/>
  <c r="V12" i="33" s="1"/>
  <c r="R14" i="31"/>
  <c r="S15" i="33"/>
  <c r="R12" i="31"/>
  <c r="R17" i="31"/>
  <c r="J11" i="14"/>
  <c r="I11" i="13"/>
  <c r="K11" i="14"/>
  <c r="I8" i="13"/>
  <c r="J8" i="14"/>
  <c r="K8" i="14"/>
  <c r="I17" i="13"/>
  <c r="K17" i="14"/>
  <c r="K12" i="13"/>
  <c r="U12" i="13" s="1"/>
  <c r="M12" i="14"/>
  <c r="M14" i="13"/>
  <c r="O14" i="14"/>
  <c r="M17" i="13"/>
  <c r="M9" i="13"/>
  <c r="O9" i="14"/>
  <c r="K17" i="13"/>
  <c r="M11" i="13"/>
  <c r="O11" i="14"/>
  <c r="K9" i="13"/>
  <c r="M9" i="14"/>
  <c r="I9" i="13"/>
  <c r="K9" i="14"/>
  <c r="K14" i="13"/>
  <c r="M14" i="14"/>
  <c r="I14" i="13"/>
  <c r="K14" i="14"/>
  <c r="N11" i="14"/>
  <c r="R15" i="31"/>
  <c r="L12" i="14"/>
  <c r="J17" i="14"/>
  <c r="N9" i="14"/>
  <c r="L17" i="14"/>
  <c r="N17" i="14"/>
  <c r="L9" i="14"/>
  <c r="L14" i="14"/>
  <c r="N14" i="14"/>
  <c r="J14" i="14"/>
  <c r="J9" i="14"/>
  <c r="C13" i="13"/>
  <c r="O13" i="13" s="1"/>
  <c r="R19" i="31"/>
  <c r="S21" i="33"/>
  <c r="AA21" i="33"/>
  <c r="Z17" i="33"/>
  <c r="AA11" i="33"/>
  <c r="S13" i="33"/>
  <c r="W13" i="33" s="1"/>
  <c r="U13" i="33"/>
  <c r="S18" i="33"/>
  <c r="R18" i="33"/>
  <c r="V18" i="33" s="1"/>
  <c r="V19" i="31"/>
  <c r="R13" i="33"/>
  <c r="V13" i="33" s="1"/>
  <c r="R21" i="33"/>
  <c r="V21" i="33" s="1"/>
  <c r="E7" i="13" l="1"/>
  <c r="P7" i="13" s="1"/>
  <c r="Z20" i="33"/>
  <c r="E17" i="13"/>
  <c r="P17" i="13" s="1"/>
  <c r="G11" i="13"/>
  <c r="Q11" i="13" s="1"/>
  <c r="AB15" i="33"/>
  <c r="G16" i="13"/>
  <c r="AB20" i="33"/>
  <c r="AB16" i="33"/>
  <c r="C8" i="13"/>
  <c r="O8" i="13" s="1"/>
  <c r="AB18" i="33"/>
  <c r="G14" i="13"/>
  <c r="Q14" i="13" s="1"/>
  <c r="E9" i="13"/>
  <c r="P9" i="13" s="1"/>
  <c r="E12" i="13"/>
  <c r="P12" i="13" s="1"/>
  <c r="E11" i="13"/>
  <c r="P11" i="13" s="1"/>
  <c r="AA16" i="33"/>
  <c r="AA13" i="33"/>
  <c r="AA15" i="33"/>
  <c r="C16" i="13"/>
  <c r="AA18" i="33"/>
  <c r="E8" i="13"/>
  <c r="P8" i="13" s="1"/>
  <c r="E14" i="13"/>
  <c r="P14" i="13" s="1"/>
  <c r="AA14" i="33"/>
  <c r="AA12" i="33"/>
  <c r="G12" i="13"/>
  <c r="Q12" i="13" s="1"/>
  <c r="Z12" i="33"/>
  <c r="E10" i="13"/>
  <c r="P10" i="13" s="1"/>
  <c r="C12" i="13"/>
  <c r="O12" i="13" s="1"/>
  <c r="Y17" i="33"/>
  <c r="H13" i="14" s="1"/>
  <c r="I13" i="14" s="1"/>
  <c r="Y14" i="33"/>
  <c r="H10" i="14" s="1"/>
  <c r="I10" i="14" s="1"/>
  <c r="F13" i="14"/>
  <c r="G13" i="14" s="1"/>
  <c r="D12" i="14"/>
  <c r="E12" i="14" s="1"/>
  <c r="H8" i="14"/>
  <c r="I8" i="14" s="1"/>
  <c r="H7" i="14"/>
  <c r="I7" i="14" s="1"/>
  <c r="D10" i="14"/>
  <c r="E10" i="14" s="1"/>
  <c r="G7" i="13"/>
  <c r="Q7" i="13" s="1"/>
  <c r="Z14" i="33"/>
  <c r="Y13" i="33"/>
  <c r="H9" i="14" s="1"/>
  <c r="I9" i="14" s="1"/>
  <c r="G8" i="13"/>
  <c r="Q8" i="13" s="1"/>
  <c r="W15" i="33"/>
  <c r="D11" i="14" s="1"/>
  <c r="E11" i="14" s="1"/>
  <c r="X20" i="33"/>
  <c r="D9" i="14"/>
  <c r="E9" i="14" s="1"/>
  <c r="W21" i="33"/>
  <c r="D17" i="14" s="1"/>
  <c r="E17" i="14" s="1"/>
  <c r="AA17" i="33"/>
  <c r="W18" i="33"/>
  <c r="D14" i="14" s="1"/>
  <c r="E14" i="14" s="1"/>
  <c r="J42" i="70"/>
  <c r="Z11" i="33"/>
  <c r="C7" i="13"/>
  <c r="O7" i="13" s="1"/>
  <c r="I42" i="70"/>
  <c r="U8" i="13"/>
  <c r="N25" i="82"/>
  <c r="I32" i="82"/>
  <c r="M34" i="79" s="1"/>
  <c r="D31" i="82"/>
  <c r="J25" i="82" s="1"/>
  <c r="E31" i="82"/>
  <c r="K25" i="82" s="1"/>
  <c r="U7" i="13"/>
  <c r="V10" i="31"/>
  <c r="K7" i="14"/>
  <c r="K50" i="70"/>
  <c r="I50" i="70"/>
  <c r="J50" i="70"/>
  <c r="E12" i="9"/>
  <c r="F12" i="9" s="1"/>
  <c r="E13" i="9"/>
  <c r="F13" i="9" s="1"/>
  <c r="E17" i="9"/>
  <c r="F17" i="9" s="1"/>
  <c r="E11" i="9"/>
  <c r="F11" i="9" s="1"/>
  <c r="E14" i="9"/>
  <c r="F14" i="9" s="1"/>
  <c r="E10" i="9"/>
  <c r="F10" i="9" s="1"/>
  <c r="E15" i="9"/>
  <c r="F15" i="9" s="1"/>
  <c r="E18" i="9"/>
  <c r="F18" i="9" s="1"/>
  <c r="O17" i="14"/>
  <c r="U14" i="13"/>
  <c r="U9" i="13"/>
  <c r="U10" i="13"/>
  <c r="U16" i="13"/>
  <c r="U17" i="13"/>
  <c r="U11" i="13"/>
  <c r="M17" i="14"/>
  <c r="M19" i="14" s="1"/>
  <c r="V16" i="31"/>
  <c r="V13" i="31"/>
  <c r="V11" i="31"/>
  <c r="V20" i="31"/>
  <c r="V14" i="31"/>
  <c r="V15" i="31"/>
  <c r="G17" i="13"/>
  <c r="Q17" i="13" s="1"/>
  <c r="V12" i="31"/>
  <c r="V17" i="31"/>
  <c r="AB21" i="33"/>
  <c r="Q16" i="13" l="1"/>
  <c r="O16" i="13"/>
  <c r="E16" i="13"/>
  <c r="AA20" i="33"/>
  <c r="G9" i="13"/>
  <c r="Q9" i="13" s="1"/>
  <c r="AB17" i="33"/>
  <c r="G13" i="13"/>
  <c r="Q13" i="13" s="1"/>
  <c r="J48" i="70"/>
  <c r="G10" i="13"/>
  <c r="Q10" i="13" s="1"/>
  <c r="V10" i="13" s="1"/>
  <c r="C9" i="13"/>
  <c r="O9" i="13" s="1"/>
  <c r="C17" i="13"/>
  <c r="O17" i="13" s="1"/>
  <c r="Z15" i="33"/>
  <c r="Z21" i="33"/>
  <c r="AB14" i="33"/>
  <c r="AB13" i="33"/>
  <c r="C11" i="13"/>
  <c r="O11" i="13" s="1"/>
  <c r="V11" i="13" s="1"/>
  <c r="Z13" i="33"/>
  <c r="Z18" i="33"/>
  <c r="C14" i="13"/>
  <c r="F16" i="14"/>
  <c r="G16" i="14" s="1"/>
  <c r="G19" i="14" s="1"/>
  <c r="V7" i="13"/>
  <c r="K48" i="70"/>
  <c r="P25" i="82"/>
  <c r="K32" i="82"/>
  <c r="O34" i="79" s="1"/>
  <c r="O25" i="82"/>
  <c r="J32" i="82"/>
  <c r="N34" i="79" s="1"/>
  <c r="DS49" i="81"/>
  <c r="N32" i="82"/>
  <c r="L50" i="70"/>
  <c r="I49" i="70"/>
  <c r="I48" i="70"/>
  <c r="V12" i="13"/>
  <c r="V8" i="13"/>
  <c r="P16" i="13" l="1"/>
  <c r="V16" i="13" s="1"/>
  <c r="O14" i="13"/>
  <c r="V14" i="13" s="1"/>
  <c r="AA4" i="31"/>
  <c r="D49" i="18"/>
  <c r="B112" i="38"/>
  <c r="B45" i="38"/>
  <c r="B55" i="38"/>
  <c r="B97" i="38"/>
  <c r="B44" i="38"/>
  <c r="B51" i="38"/>
  <c r="B26" i="38"/>
  <c r="B32" i="38"/>
  <c r="B33" i="38"/>
  <c r="B92" i="38"/>
  <c r="B93" i="38"/>
  <c r="B37" i="38"/>
  <c r="B71" i="38"/>
  <c r="B47" i="38"/>
  <c r="B76" i="38"/>
  <c r="B91" i="38"/>
  <c r="B53" i="38"/>
  <c r="B81" i="38"/>
  <c r="B90" i="38"/>
  <c r="B27" i="38"/>
  <c r="B110" i="38"/>
  <c r="B111" i="38"/>
  <c r="B74" i="38"/>
  <c r="B63" i="38"/>
  <c r="B78" i="38"/>
  <c r="B100" i="38"/>
  <c r="B67" i="38"/>
  <c r="B82" i="38"/>
  <c r="B61" i="38"/>
  <c r="B106" i="38"/>
  <c r="B18" i="38"/>
  <c r="B21" i="38"/>
  <c r="B40" i="38"/>
  <c r="B48" i="38"/>
  <c r="B31" i="38"/>
  <c r="B34" i="38"/>
  <c r="B98" i="38"/>
  <c r="B69" i="38"/>
  <c r="B22" i="38"/>
  <c r="B84" i="38"/>
  <c r="B35" i="38"/>
  <c r="B50" i="38"/>
  <c r="B77" i="38"/>
  <c r="B17" i="38"/>
  <c r="B83" i="38"/>
  <c r="B70" i="38"/>
  <c r="B38" i="38"/>
  <c r="B19" i="38"/>
  <c r="B99" i="38"/>
  <c r="B85" i="38"/>
  <c r="B64" i="38"/>
  <c r="B13" i="38"/>
  <c r="B59" i="38"/>
  <c r="B52" i="38"/>
  <c r="B108" i="38"/>
  <c r="B95" i="38"/>
  <c r="B103" i="38"/>
  <c r="B105" i="38"/>
  <c r="B42" i="38"/>
  <c r="B89" i="38"/>
  <c r="B107" i="38"/>
  <c r="B104" i="38"/>
  <c r="B24" i="38"/>
  <c r="B43" i="38"/>
  <c r="B46" i="38"/>
  <c r="B109" i="38"/>
  <c r="B25" i="38"/>
  <c r="B88" i="38"/>
  <c r="B36" i="38"/>
  <c r="B80" i="38"/>
  <c r="B56" i="38"/>
  <c r="B20" i="38"/>
  <c r="B65" i="38"/>
  <c r="B16" i="38"/>
  <c r="B101" i="38"/>
  <c r="B96" i="38"/>
  <c r="B29" i="38"/>
  <c r="B41" i="38"/>
  <c r="B23" i="38"/>
  <c r="B87" i="38"/>
  <c r="B14" i="38"/>
  <c r="B73" i="38"/>
  <c r="B49" i="38"/>
  <c r="B57" i="38"/>
  <c r="B75" i="38"/>
  <c r="B66" i="38"/>
  <c r="B79" i="38"/>
  <c r="B28" i="38"/>
  <c r="B86" i="38"/>
  <c r="B58" i="38"/>
  <c r="B94" i="38"/>
  <c r="B54" i="38"/>
  <c r="B72" i="38"/>
  <c r="B102" i="38"/>
  <c r="B62" i="38"/>
  <c r="B60" i="38"/>
  <c r="B68" i="38"/>
  <c r="B30" i="38"/>
  <c r="B39" i="38"/>
  <c r="B15" i="38"/>
  <c r="B12" i="38"/>
  <c r="D49" i="23"/>
  <c r="D49" i="26" s="1"/>
  <c r="O32" i="82"/>
  <c r="DV49" i="81"/>
  <c r="G49" i="18" s="1"/>
  <c r="DZ49" i="81"/>
  <c r="K49" i="18" s="1"/>
  <c r="P32" i="82"/>
  <c r="K49" i="70"/>
  <c r="L48" i="70"/>
  <c r="J49" i="70"/>
  <c r="V17" i="13"/>
  <c r="V13" i="13"/>
  <c r="V9" i="13"/>
  <c r="AA18" i="31" l="1"/>
  <c r="R15" i="13" s="1"/>
  <c r="AA16" i="31"/>
  <c r="R13" i="13" s="1"/>
  <c r="AA15" i="31"/>
  <c r="R12" i="13" s="1"/>
  <c r="AA12" i="31"/>
  <c r="R9" i="13" s="1"/>
  <c r="AA10" i="31"/>
  <c r="R7" i="13" s="1"/>
  <c r="AA20" i="31"/>
  <c r="R17" i="13" s="1"/>
  <c r="AA17" i="31"/>
  <c r="R14" i="13" s="1"/>
  <c r="AA19" i="31"/>
  <c r="R16" i="13" s="1"/>
  <c r="AA14" i="31"/>
  <c r="R11" i="13" s="1"/>
  <c r="AA13" i="31"/>
  <c r="R10" i="13" s="1"/>
  <c r="AA11" i="31"/>
  <c r="R8" i="13" s="1"/>
  <c r="G49" i="23"/>
  <c r="G49" i="26" s="1"/>
  <c r="AB4" i="31"/>
  <c r="C112" i="38"/>
  <c r="C25" i="38"/>
  <c r="C47" i="38"/>
  <c r="C79" i="38"/>
  <c r="C106" i="38"/>
  <c r="C99" i="38"/>
  <c r="C78" i="38"/>
  <c r="C59" i="38"/>
  <c r="C24" i="38"/>
  <c r="C103" i="38"/>
  <c r="C39" i="38"/>
  <c r="C56" i="38"/>
  <c r="C15" i="38"/>
  <c r="C48" i="38"/>
  <c r="C45" i="38"/>
  <c r="C84" i="38"/>
  <c r="C16" i="38"/>
  <c r="C36" i="38"/>
  <c r="C37" i="38"/>
  <c r="C77" i="38"/>
  <c r="C97" i="38"/>
  <c r="C61" i="38"/>
  <c r="C49" i="38"/>
  <c r="C104" i="38"/>
  <c r="C67" i="38"/>
  <c r="C23" i="38"/>
  <c r="C30" i="38"/>
  <c r="C65" i="38"/>
  <c r="C102" i="38"/>
  <c r="C82" i="38"/>
  <c r="C18" i="38"/>
  <c r="C86" i="38"/>
  <c r="C55" i="38"/>
  <c r="C111" i="38"/>
  <c r="C94" i="38"/>
  <c r="C52" i="38"/>
  <c r="C32" i="38"/>
  <c r="C20" i="38"/>
  <c r="C70" i="38"/>
  <c r="C83" i="38"/>
  <c r="C93" i="38"/>
  <c r="C17" i="38"/>
  <c r="C108" i="38"/>
  <c r="C19" i="38"/>
  <c r="C31" i="38"/>
  <c r="C89" i="38"/>
  <c r="C58" i="38"/>
  <c r="C105" i="38"/>
  <c r="C81" i="38"/>
  <c r="C64" i="38"/>
  <c r="C88" i="38"/>
  <c r="C110" i="38"/>
  <c r="C66" i="38"/>
  <c r="C87" i="38"/>
  <c r="C85" i="38"/>
  <c r="C26" i="38"/>
  <c r="C63" i="38"/>
  <c r="C95" i="38"/>
  <c r="C109" i="38"/>
  <c r="C71" i="38"/>
  <c r="C91" i="38"/>
  <c r="C29" i="38"/>
  <c r="C27" i="38"/>
  <c r="C72" i="38"/>
  <c r="C54" i="38"/>
  <c r="C76" i="38"/>
  <c r="C43" i="38"/>
  <c r="C41" i="38"/>
  <c r="C60" i="38"/>
  <c r="C75" i="38"/>
  <c r="C44" i="38"/>
  <c r="C73" i="38"/>
  <c r="C12" i="38"/>
  <c r="C22" i="38"/>
  <c r="C42" i="38"/>
  <c r="C68" i="38"/>
  <c r="C28" i="38"/>
  <c r="C96" i="38"/>
  <c r="C46" i="38"/>
  <c r="C50" i="38"/>
  <c r="C90" i="38"/>
  <c r="C80" i="38"/>
  <c r="C35" i="38"/>
  <c r="C53" i="38"/>
  <c r="C100" i="38"/>
  <c r="C69" i="38"/>
  <c r="C21" i="38"/>
  <c r="C38" i="38"/>
  <c r="C74" i="38"/>
  <c r="C34" i="38"/>
  <c r="C14" i="38"/>
  <c r="C13" i="38"/>
  <c r="C51" i="38"/>
  <c r="C62" i="38"/>
  <c r="C98" i="38"/>
  <c r="C40" i="38"/>
  <c r="C92" i="38"/>
  <c r="C57" i="38"/>
  <c r="C101" i="38"/>
  <c r="C33" i="38"/>
  <c r="D112" i="38"/>
  <c r="D84" i="38"/>
  <c r="D101" i="38"/>
  <c r="D63" i="38"/>
  <c r="D68" i="38"/>
  <c r="D72" i="38"/>
  <c r="D94" i="38"/>
  <c r="D104" i="38"/>
  <c r="D17" i="38"/>
  <c r="D79" i="38"/>
  <c r="D60" i="38"/>
  <c r="D67" i="38"/>
  <c r="D41" i="38"/>
  <c r="D57" i="38"/>
  <c r="D26" i="38"/>
  <c r="D87" i="38"/>
  <c r="D42" i="38"/>
  <c r="D98" i="38"/>
  <c r="D27" i="38"/>
  <c r="D111" i="38"/>
  <c r="D88" i="38"/>
  <c r="D93" i="38"/>
  <c r="D47" i="38"/>
  <c r="D49" i="38"/>
  <c r="D33" i="38"/>
  <c r="D38" i="38"/>
  <c r="D15" i="38"/>
  <c r="D100" i="38"/>
  <c r="D102" i="38"/>
  <c r="D92" i="38"/>
  <c r="D66" i="38"/>
  <c r="D22" i="38"/>
  <c r="D51" i="38"/>
  <c r="D29" i="38"/>
  <c r="D55" i="38"/>
  <c r="D64" i="38"/>
  <c r="D103" i="38"/>
  <c r="D25" i="38"/>
  <c r="D61" i="38"/>
  <c r="D95" i="38"/>
  <c r="D106" i="38"/>
  <c r="D62" i="38"/>
  <c r="D53" i="38"/>
  <c r="D65" i="38"/>
  <c r="D40" i="38"/>
  <c r="D13" i="38"/>
  <c r="D110" i="38"/>
  <c r="D12" i="38"/>
  <c r="D83" i="38"/>
  <c r="D86" i="38"/>
  <c r="D81" i="38"/>
  <c r="D24" i="38"/>
  <c r="D75" i="38"/>
  <c r="D97" i="38"/>
  <c r="D69" i="38"/>
  <c r="D28" i="38"/>
  <c r="D34" i="38"/>
  <c r="D35" i="38"/>
  <c r="D85" i="38"/>
  <c r="D91" i="38"/>
  <c r="D14" i="38"/>
  <c r="D50" i="38"/>
  <c r="D73" i="38"/>
  <c r="D70" i="38"/>
  <c r="D18" i="38"/>
  <c r="D107" i="38"/>
  <c r="D105" i="38"/>
  <c r="D59" i="38"/>
  <c r="D58" i="38"/>
  <c r="D77" i="38"/>
  <c r="D21" i="38"/>
  <c r="D54" i="38"/>
  <c r="D56" i="38"/>
  <c r="D16" i="38"/>
  <c r="D80" i="38"/>
  <c r="D45" i="38"/>
  <c r="D71" i="38"/>
  <c r="D46" i="38"/>
  <c r="D44" i="38"/>
  <c r="D20" i="38"/>
  <c r="D30" i="38"/>
  <c r="D31" i="38"/>
  <c r="D78" i="38"/>
  <c r="D48" i="38"/>
  <c r="D74" i="38"/>
  <c r="D37" i="38"/>
  <c r="D90" i="38"/>
  <c r="D89" i="38"/>
  <c r="D43" i="38"/>
  <c r="D109" i="38"/>
  <c r="D96" i="38"/>
  <c r="D76" i="38"/>
  <c r="D32" i="38"/>
  <c r="D39" i="38"/>
  <c r="D23" i="38"/>
  <c r="D19" i="38"/>
  <c r="D99" i="38"/>
  <c r="D82" i="38"/>
  <c r="D36" i="38"/>
  <c r="D52" i="38"/>
  <c r="D108" i="38"/>
  <c r="AC4" i="31"/>
  <c r="K49" i="23"/>
  <c r="K49" i="26" s="1"/>
  <c r="L49" i="70"/>
  <c r="AB18" i="31" l="1"/>
  <c r="S15" i="13" s="1"/>
  <c r="AC18" i="31"/>
  <c r="T15" i="13" s="1"/>
  <c r="AB16" i="31"/>
  <c r="S13" i="13" s="1"/>
  <c r="AB20" i="31"/>
  <c r="S17" i="13" s="1"/>
  <c r="AB13" i="31"/>
  <c r="S10" i="13" s="1"/>
  <c r="C107" i="38"/>
  <c r="AB19" i="31" s="1"/>
  <c r="S16" i="13" s="1"/>
  <c r="AC19" i="31"/>
  <c r="T16" i="13" s="1"/>
  <c r="AC14" i="31"/>
  <c r="T11" i="13" s="1"/>
  <c r="AC12" i="31"/>
  <c r="T9" i="13" s="1"/>
  <c r="AC16" i="31"/>
  <c r="T13" i="13" s="1"/>
  <c r="AC15" i="31"/>
  <c r="T12" i="13" s="1"/>
  <c r="AC17" i="31"/>
  <c r="T14" i="13" s="1"/>
  <c r="AC10" i="31"/>
  <c r="T7" i="13" s="1"/>
  <c r="AC20" i="31"/>
  <c r="T17" i="13" s="1"/>
  <c r="AC11" i="31"/>
  <c r="T8" i="13" s="1"/>
  <c r="AC13" i="31"/>
  <c r="T10" i="13" s="1"/>
  <c r="I45" i="70"/>
  <c r="AB17" i="31" l="1"/>
  <c r="S14" i="13" s="1"/>
  <c r="W14" i="13" s="1"/>
  <c r="W16" i="13"/>
  <c r="X16" i="13" s="1"/>
  <c r="Z16" i="13" s="1"/>
  <c r="AB15" i="31"/>
  <c r="S12" i="13" s="1"/>
  <c r="W12" i="13" s="1"/>
  <c r="AB12" i="31"/>
  <c r="S9" i="13" s="1"/>
  <c r="W9" i="13" s="1"/>
  <c r="AB14" i="31"/>
  <c r="S11" i="13" s="1"/>
  <c r="W11" i="13" s="1"/>
  <c r="C114" i="38"/>
  <c r="W15" i="13"/>
  <c r="W13" i="13"/>
  <c r="W17" i="13"/>
  <c r="X17" i="13" s="1"/>
  <c r="W10" i="13"/>
  <c r="K45" i="70"/>
  <c r="K51" i="70"/>
  <c r="AB11" i="31"/>
  <c r="S8" i="13" s="1"/>
  <c r="I51" i="70"/>
  <c r="AB10" i="31"/>
  <c r="S7" i="13" s="1"/>
  <c r="G52" i="23" l="1"/>
  <c r="G52" i="26" s="1"/>
  <c r="G52" i="18"/>
  <c r="X9" i="13"/>
  <c r="Z9" i="13" s="1"/>
  <c r="X15" i="13"/>
  <c r="G16" i="9" s="1"/>
  <c r="X12" i="13"/>
  <c r="X11" i="13"/>
  <c r="AB11" i="13" s="1"/>
  <c r="AB16" i="13"/>
  <c r="X13" i="13"/>
  <c r="AB13" i="13" s="1"/>
  <c r="X10" i="13"/>
  <c r="G11" i="9" s="1"/>
  <c r="X14" i="13"/>
  <c r="Z14" i="13" s="1"/>
  <c r="J45" i="70"/>
  <c r="G18" i="9"/>
  <c r="AB17" i="13"/>
  <c r="Z17" i="13"/>
  <c r="AA17" i="13"/>
  <c r="J51" i="70"/>
  <c r="L51" i="70" s="1"/>
  <c r="L53" i="70" s="1"/>
  <c r="L55" i="70" s="1"/>
  <c r="I57" i="70" s="1"/>
  <c r="W8" i="13"/>
  <c r="W7" i="13"/>
  <c r="AB15" i="13" l="1"/>
  <c r="Z11" i="13"/>
  <c r="AA9" i="13"/>
  <c r="AA15" i="13"/>
  <c r="Z15" i="13"/>
  <c r="AA14" i="13"/>
  <c r="AB9" i="13"/>
  <c r="G10" i="9"/>
  <c r="K10" i="9" s="1"/>
  <c r="L10" i="9" s="1"/>
  <c r="AB14" i="13"/>
  <c r="AA10" i="13"/>
  <c r="AB10" i="13"/>
  <c r="Z10" i="13"/>
  <c r="H11" i="9"/>
  <c r="K11" i="9"/>
  <c r="G12" i="9"/>
  <c r="Z13" i="13"/>
  <c r="AA11" i="13"/>
  <c r="G15" i="9"/>
  <c r="H15" i="9" s="1"/>
  <c r="K16" i="9"/>
  <c r="H16" i="9"/>
  <c r="Z12" i="13"/>
  <c r="AA12" i="13"/>
  <c r="AB12" i="13"/>
  <c r="AA13" i="13"/>
  <c r="AA16" i="13"/>
  <c r="G17" i="9"/>
  <c r="K17" i="9" s="1"/>
  <c r="G13" i="9"/>
  <c r="X8" i="13"/>
  <c r="G9" i="9" s="1"/>
  <c r="G14" i="9"/>
  <c r="K14" i="9" s="1"/>
  <c r="X7" i="13"/>
  <c r="AB7" i="13" s="1"/>
  <c r="H18" i="9"/>
  <c r="K18" i="9"/>
  <c r="L18" i="9" s="1"/>
  <c r="L11" i="9" l="1"/>
  <c r="N11" i="9" s="1"/>
  <c r="L16" i="9"/>
  <c r="N16" i="9" s="1"/>
  <c r="L17" i="9"/>
  <c r="N17" i="9" s="1"/>
  <c r="L14" i="9"/>
  <c r="N14" i="9" s="1"/>
  <c r="H10" i="9"/>
  <c r="G8" i="9"/>
  <c r="H8" i="9" s="1"/>
  <c r="AB8" i="13"/>
  <c r="AA8" i="13"/>
  <c r="K15" i="9"/>
  <c r="Z8" i="13"/>
  <c r="H12" i="9"/>
  <c r="K12" i="9"/>
  <c r="H14" i="9"/>
  <c r="AA7" i="13"/>
  <c r="H9" i="9"/>
  <c r="K9" i="9"/>
  <c r="N9" i="9" s="1"/>
  <c r="Z7" i="13"/>
  <c r="H17" i="9"/>
  <c r="H13" i="9"/>
  <c r="K13" i="9"/>
  <c r="N10" i="9"/>
  <c r="N18" i="9"/>
  <c r="I56" i="70"/>
  <c r="H66" i="70" s="1"/>
  <c r="I53" i="70"/>
  <c r="K53" i="70"/>
  <c r="J53" i="70"/>
  <c r="U51" i="70"/>
  <c r="U55" i="70" s="1"/>
  <c r="L12" i="9" l="1"/>
  <c r="N12" i="9" s="1"/>
  <c r="L13" i="9"/>
  <c r="N13" i="9" s="1"/>
  <c r="L15" i="9"/>
  <c r="N15" i="9" s="1"/>
  <c r="K8" i="9"/>
  <c r="L8" i="9" l="1"/>
  <c r="N8" i="9"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Administrator</author>
    <author>dawn belfus</author>
    <author>Mathis</author>
  </authors>
  <commentList>
    <comment ref="EE11" authorId="0" shapeId="0" xr:uid="{732FFFFD-D4DA-47E2-8B2F-D687CF7355EB}">
      <text>
        <r>
          <rPr>
            <b/>
            <sz val="9"/>
            <color indexed="81"/>
            <rFont val="Tahoma"/>
            <family val="2"/>
          </rPr>
          <t>Administrator:</t>
        </r>
        <r>
          <rPr>
            <sz val="9"/>
            <color indexed="81"/>
            <rFont val="Tahoma"/>
            <family val="2"/>
          </rPr>
          <t xml:space="preserve">
Pure Prem Sheet in DE CB Master, sum of expected losses (right side) divided by sum of expected losses (left side) for each industry group</t>
        </r>
      </text>
    </comment>
    <comment ref="EE13" authorId="1" shapeId="0" xr:uid="{E124FF20-84FC-4FD2-9041-668DE185FF16}">
      <text>
        <r>
          <rPr>
            <b/>
            <sz val="8"/>
            <color indexed="81"/>
            <rFont val="Tahoma"/>
            <family val="2"/>
          </rPr>
          <t>dawn Belfus:</t>
        </r>
        <r>
          <rPr>
            <sz val="8"/>
            <color indexed="81"/>
            <rFont val="Tahoma"/>
            <family val="2"/>
          </rPr>
          <t xml:space="preserve">
PROPOSED</t>
        </r>
      </text>
    </comment>
    <comment ref="Z22" authorId="0" shapeId="0" xr:uid="{29C0F681-DE15-405B-A20A-E1A6AAED9051}">
      <text>
        <r>
          <rPr>
            <b/>
            <sz val="9"/>
            <color indexed="81"/>
            <rFont val="Tahoma"/>
            <family val="2"/>
          </rPr>
          <t>Administrator:</t>
        </r>
        <r>
          <rPr>
            <sz val="9"/>
            <color indexed="81"/>
            <rFont val="Tahoma"/>
            <family val="2"/>
          </rPr>
          <t xml:space="preserve">
G:\SHEETS\DE2022\D22C06\Average Cost Analysis_DE_2022.xlsx (PP HG relativities, cells AQ24:AQ30)</t>
        </r>
      </text>
    </comment>
    <comment ref="AB22" authorId="2" shapeId="0" xr:uid="{E32A3855-9031-4424-B729-DA481E9F0751}">
      <text>
        <r>
          <rPr>
            <b/>
            <sz val="9"/>
            <color indexed="81"/>
            <rFont val="Tahoma"/>
            <family val="2"/>
          </rPr>
          <t>Mathis:</t>
        </r>
        <r>
          <rPr>
            <sz val="9"/>
            <color indexed="81"/>
            <rFont val="Tahoma"/>
            <family val="2"/>
          </rPr>
          <t xml:space="preserve">
Cell has special format to make "(2) *" appear before inputted number
</t>
        </r>
      </text>
    </comment>
    <comment ref="CV22" authorId="1" shapeId="0" xr:uid="{7C55D8A5-76B2-46EA-911D-DEE0A00EA007}">
      <text>
        <r>
          <rPr>
            <b/>
            <sz val="8"/>
            <color indexed="81"/>
            <rFont val="Tahoma"/>
            <family val="2"/>
          </rPr>
          <t>dawn Belfus:</t>
        </r>
        <r>
          <rPr>
            <sz val="8"/>
            <color indexed="81"/>
            <rFont val="Tahoma"/>
            <family val="2"/>
          </rPr>
          <t xml:space="preserve">
change in residual market rate level
</t>
        </r>
      </text>
    </comment>
    <comment ref="CX22" authorId="1" shapeId="0" xr:uid="{493CCAD2-3603-46DA-9AAF-91421D1CEA83}">
      <text>
        <r>
          <rPr>
            <b/>
            <sz val="8"/>
            <color indexed="81"/>
            <rFont val="Tahoma"/>
            <family val="2"/>
          </rPr>
          <t>Loss and Loss Adjustment  factor from Exhibit II Expense loading</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Marass, Jesse</author>
  </authors>
  <commentList>
    <comment ref="E11" authorId="0" shapeId="0" xr:uid="{3A4DB0C4-436D-40CD-A8DE-9D87AEFA171B}">
      <text>
        <r>
          <rPr>
            <b/>
            <sz val="9"/>
            <color indexed="81"/>
            <rFont val="Tahoma"/>
            <family val="2"/>
          </rPr>
          <t>Marass, Jesse:</t>
        </r>
        <r>
          <rPr>
            <sz val="9"/>
            <color indexed="81"/>
            <rFont val="Tahoma"/>
            <family val="2"/>
          </rPr>
          <t xml:space="preserve">
Check against Losses file totals</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Administrator</author>
  </authors>
  <commentList>
    <comment ref="I7" authorId="0" shapeId="0" xr:uid="{003E6D81-C1D5-4445-952E-7F669880B050}">
      <text>
        <r>
          <rPr>
            <b/>
            <sz val="9"/>
            <color indexed="81"/>
            <rFont val="Tahoma"/>
            <family val="2"/>
          </rPr>
          <t>Administrator:</t>
        </r>
        <r>
          <rPr>
            <sz val="9"/>
            <color indexed="81"/>
            <rFont val="Tahoma"/>
            <family val="2"/>
          </rPr>
          <t xml:space="preserve">
from Ratetest/Exhibit 31a.tab
Current Rate Pre DCCPAP Pre Surcharge
Use "proposed" Pre surcharge rate</t>
        </r>
      </text>
    </comment>
    <comment ref="J7" authorId="0" shapeId="0" xr:uid="{4597C586-00A2-42B5-BDBC-90D177DABFEB}">
      <text>
        <r>
          <rPr>
            <b/>
            <sz val="9"/>
            <color indexed="81"/>
            <rFont val="Tahoma"/>
            <family val="2"/>
          </rPr>
          <t>Administrator:</t>
        </r>
        <r>
          <rPr>
            <sz val="9"/>
            <color indexed="81"/>
            <rFont val="Tahoma"/>
            <family val="2"/>
          </rPr>
          <t xml:space="preserve">
See Exhibit 31a</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Administrator</author>
  </authors>
  <commentList>
    <comment ref="AB5" authorId="0" shapeId="0" xr:uid="{A6A8BBCC-948F-4783-A247-F7601388FED3}">
      <text>
        <r>
          <rPr>
            <sz val="9"/>
            <color indexed="81"/>
            <rFont val="Tahoma"/>
            <family val="2"/>
          </rPr>
          <t xml:space="preserve">This logic is consistent with the Mainframe logic to calculate Serious, Non-Serious and Med Only Pure Premiums based on the Derived by Formula distribution. We should possibly investigate varying the distribution based on which Pure Premium was selected as the median value.
</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Mathis</author>
  </authors>
  <commentList>
    <comment ref="M3" authorId="0" shapeId="0" xr:uid="{97FDE46F-5F16-4687-A6F6-7CE219983AE7}">
      <text>
        <r>
          <rPr>
            <b/>
            <sz val="9"/>
            <color indexed="81"/>
            <rFont val="Tahoma"/>
            <family val="2"/>
          </rPr>
          <t>Mathis:</t>
        </r>
        <r>
          <rPr>
            <sz val="9"/>
            <color indexed="81"/>
            <rFont val="Tahoma"/>
            <family val="2"/>
          </rPr>
          <t xml:space="preserve">
Removed Min Prem from classbook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<sst xmlns="http://schemas.openxmlformats.org/spreadsheetml/2006/main" count="1949" uniqueCount="622">
  <si>
    <t xml:space="preserve"> </t>
  </si>
  <si>
    <t>MED ONLY</t>
  </si>
  <si>
    <t>PAYROLL</t>
  </si>
  <si>
    <t>CLASS:</t>
  </si>
  <si>
    <t>CODE:</t>
  </si>
  <si>
    <t>Manual</t>
  </si>
  <si>
    <t>Year</t>
  </si>
  <si>
    <t>Death</t>
  </si>
  <si>
    <t>P.T.</t>
  </si>
  <si>
    <t>Major</t>
  </si>
  <si>
    <t>Minor</t>
  </si>
  <si>
    <t>Temp</t>
  </si>
  <si>
    <t>Serious, Non-Serious and Medical</t>
  </si>
  <si>
    <t>DEATH</t>
  </si>
  <si>
    <t>MAJOR</t>
  </si>
  <si>
    <t>MINOR</t>
  </si>
  <si>
    <t>TEMP</t>
  </si>
  <si>
    <t>Credi-</t>
  </si>
  <si>
    <t>Serious</t>
  </si>
  <si>
    <t>Non-Serious</t>
  </si>
  <si>
    <t>Medical</t>
  </si>
  <si>
    <t>bility</t>
  </si>
  <si>
    <t>TOTAL</t>
  </si>
  <si>
    <t>(2)</t>
  </si>
  <si>
    <t>(3)</t>
  </si>
  <si>
    <t>(4)</t>
  </si>
  <si>
    <t>(1)</t>
  </si>
  <si>
    <t>C P P M</t>
  </si>
  <si>
    <t xml:space="preserve">        REPORTED LOSSES</t>
  </si>
  <si>
    <t>Indemnity</t>
  </si>
  <si>
    <t xml:space="preserve">       TRANSLATED LOSSES</t>
  </si>
  <si>
    <t>SERIOUS</t>
  </si>
  <si>
    <t>NON-SER</t>
  </si>
  <si>
    <t>TOTAL TRANSLATED LOSSES</t>
  </si>
  <si>
    <t>IBNR + FREQ. ADJUSTMENT</t>
  </si>
  <si>
    <t>TOTAL LOSSES</t>
  </si>
  <si>
    <t>EXPECTED LOSSES</t>
  </si>
  <si>
    <t>CREDIBILITY</t>
  </si>
  <si>
    <t>POST-TEST</t>
  </si>
  <si>
    <t>PURE PREMIUMS</t>
  </si>
  <si>
    <t xml:space="preserve">   INDICATED (POST-TEST)</t>
  </si>
  <si>
    <t xml:space="preserve">   DERIVED BY FORMULA</t>
  </si>
  <si>
    <t>ON-LEV FAC.</t>
  </si>
  <si>
    <t>MIN SWING</t>
  </si>
  <si>
    <t>MAX SWING</t>
  </si>
  <si>
    <t xml:space="preserve">   PROPOSED</t>
  </si>
  <si>
    <t xml:space="preserve">   YEAR</t>
  </si>
  <si>
    <t>IND. RATE</t>
  </si>
  <si>
    <t>MAN. RATE</t>
  </si>
  <si>
    <t>Maximum</t>
  </si>
  <si>
    <t>Minimum</t>
  </si>
  <si>
    <t>Indicated</t>
  </si>
  <si>
    <t xml:space="preserve">        LIMITED LOSSES</t>
  </si>
  <si>
    <t>SER</t>
  </si>
  <si>
    <t>MED</t>
  </si>
  <si>
    <t xml:space="preserve">       DEATH</t>
  </si>
  <si>
    <t xml:space="preserve">        P.T.</t>
  </si>
  <si>
    <t xml:space="preserve">       MAJOR</t>
  </si>
  <si>
    <t xml:space="preserve">       MINOR</t>
  </si>
  <si>
    <t xml:space="preserve">       TEMP.</t>
  </si>
  <si>
    <t>CLASS  MARINA</t>
  </si>
  <si>
    <t>CLASS  BOAT BUILDING OR REPAIR</t>
  </si>
  <si>
    <t>Ind Death</t>
  </si>
  <si>
    <t>Ind pt</t>
  </si>
  <si>
    <t>Med pt</t>
  </si>
  <si>
    <t>Ind Maj</t>
  </si>
  <si>
    <t>Med Maj</t>
  </si>
  <si>
    <t>Ind Min</t>
  </si>
  <si>
    <t>Med Min</t>
  </si>
  <si>
    <t>Ind TT</t>
  </si>
  <si>
    <t>Med TT</t>
  </si>
  <si>
    <t>Class</t>
  </si>
  <si>
    <t>PY</t>
  </si>
  <si>
    <t>Med Death</t>
  </si>
  <si>
    <t>Policy Num</t>
  </si>
  <si>
    <t>File Num</t>
  </si>
  <si>
    <t>Total</t>
  </si>
  <si>
    <t>CLASS</t>
  </si>
  <si>
    <t>(EXCL S&amp; C)</t>
  </si>
  <si>
    <t>On-Level</t>
  </si>
  <si>
    <t>Pure Premium</t>
  </si>
  <si>
    <t>EXPECTED</t>
  </si>
  <si>
    <t>LOSSES</t>
  </si>
  <si>
    <t>PROPOSED</t>
  </si>
  <si>
    <t>PURE PREM</t>
  </si>
  <si>
    <t>IG</t>
  </si>
  <si>
    <t>PURE PREMIUM</t>
  </si>
  <si>
    <t>MEDICAL</t>
  </si>
  <si>
    <t>INDICATED PRE-TEST</t>
  </si>
  <si>
    <t>PRES. ON RATE LEVEL</t>
  </si>
  <si>
    <t xml:space="preserve">CLASS BOOK ITEMS  </t>
  </si>
  <si>
    <t>ON-</t>
  </si>
  <si>
    <t>COMPOSITE</t>
  </si>
  <si>
    <t>INDUSTRY</t>
  </si>
  <si>
    <t>LOSS</t>
  </si>
  <si>
    <t>LEVEL</t>
  </si>
  <si>
    <t>MINIMUM</t>
  </si>
  <si>
    <t>MAXIMUM</t>
  </si>
  <si>
    <t xml:space="preserve">GROUP      </t>
  </si>
  <si>
    <t>FACTOR</t>
  </si>
  <si>
    <t>CHANGE</t>
  </si>
  <si>
    <t>MULTIPLIER</t>
  </si>
  <si>
    <t>HAZARD</t>
  </si>
  <si>
    <t>PER CLAIM</t>
  </si>
  <si>
    <t xml:space="preserve">PER ACCIDENT </t>
  </si>
  <si>
    <t>GROUP</t>
  </si>
  <si>
    <t>LIMIT *</t>
  </si>
  <si>
    <t>A</t>
  </si>
  <si>
    <t>B</t>
  </si>
  <si>
    <t>C</t>
  </si>
  <si>
    <t>D</t>
  </si>
  <si>
    <t>E</t>
  </si>
  <si>
    <t>F</t>
  </si>
  <si>
    <t>G</t>
  </si>
  <si>
    <t>*  Applies to All Manual Years</t>
  </si>
  <si>
    <t>IBNR &amp; FREQUENCY FACTORS</t>
  </si>
  <si>
    <t>MANUAL</t>
  </si>
  <si>
    <t xml:space="preserve">MEDICAL </t>
  </si>
  <si>
    <t>YEAR</t>
  </si>
  <si>
    <t>NON-SERIOUS</t>
  </si>
  <si>
    <t>ONLY</t>
  </si>
  <si>
    <t>TREND FACTOR</t>
  </si>
  <si>
    <t>CREDIBILITY BASE:</t>
  </si>
  <si>
    <t>DOWNLOAD FILES:</t>
  </si>
  <si>
    <t>MINIMUM # YEARS:</t>
  </si>
  <si>
    <t>PRESENT ON-LEVEL PURE PREMIUM:</t>
  </si>
  <si>
    <t>NO FILE  (USE 1ST PRIOR)</t>
  </si>
  <si>
    <t>INDUSTRY GROUPS:</t>
  </si>
  <si>
    <t>TABLE I (THREE INDUSTRY GROUPS)</t>
  </si>
  <si>
    <t>TEST CORRECTION FACTORS:</t>
  </si>
  <si>
    <t>MULTIPLICATIVE</t>
  </si>
  <si>
    <t>AVERAGE 5TH TO ULTIMATE FACTOR TO ADJUST U/L PURE PREMIUM</t>
  </si>
  <si>
    <t xml:space="preserve">SERIOUS = </t>
  </si>
  <si>
    <t xml:space="preserve">NON-SERIOUS = </t>
  </si>
  <si>
    <t>MED ONLY =</t>
  </si>
  <si>
    <t>PER CAPITA CREDIBILITY FACTORS</t>
  </si>
  <si>
    <t>NON-REVIEWED CUTOFF POINT</t>
  </si>
  <si>
    <t>MINIMUM PREMIUM FORMULA:</t>
  </si>
  <si>
    <t xml:space="preserve">EXPENSE CONSTANT = </t>
  </si>
  <si>
    <t>FARM CLASSES</t>
  </si>
  <si>
    <t>0006, 0016, 0034, 0036, 0083</t>
  </si>
  <si>
    <t xml:space="preserve">MAXIMUM MIMIMUM PREMIUM = </t>
  </si>
  <si>
    <t>Factor #2</t>
  </si>
  <si>
    <t>Factor #1</t>
  </si>
  <si>
    <t>PAYROLL CREDIBILITY TABLE  (IN 00'S)</t>
  </si>
  <si>
    <t>Non-Reviewed Cutoff Point:</t>
  </si>
  <si>
    <t>Factor #3</t>
  </si>
  <si>
    <t>Rate</t>
  </si>
  <si>
    <t>Med Only</t>
  </si>
  <si>
    <t>EXPECTED LOSS FACTOR</t>
  </si>
  <si>
    <t>(YIELDS UNDERLYING PURE PREMIUMS UPON APPLICATION</t>
  </si>
  <si>
    <t>TO CURRENT LOSS COSTS)</t>
  </si>
  <si>
    <t>=</t>
  </si>
  <si>
    <t>Underlying Present Rate</t>
  </si>
  <si>
    <t>ELF</t>
  </si>
  <si>
    <t>UPP</t>
  </si>
  <si>
    <t>On-Level Factor</t>
  </si>
  <si>
    <t>PYV Rate</t>
  </si>
  <si>
    <t>Grand Total</t>
  </si>
  <si>
    <t>Developed Loss</t>
  </si>
  <si>
    <t>Reported Loss</t>
  </si>
  <si>
    <t>Row Labels</t>
  </si>
  <si>
    <t>ClassPY</t>
  </si>
  <si>
    <t>Limited Loss</t>
  </si>
  <si>
    <t>Translated Loss</t>
  </si>
  <si>
    <t>MO</t>
  </si>
  <si>
    <t>Sum of Serious</t>
  </si>
  <si>
    <t>Sum of Non-Serious</t>
  </si>
  <si>
    <t>Sum of MO2</t>
  </si>
  <si>
    <t>Previous Year's Value</t>
  </si>
  <si>
    <t>Ind PT</t>
  </si>
  <si>
    <t>Med PT</t>
  </si>
  <si>
    <t>Index Key</t>
  </si>
  <si>
    <t>Class &amp; PY</t>
  </si>
  <si>
    <t>Limited Losses (CAT &amp; Non-CAT)</t>
  </si>
  <si>
    <t>Ind Major</t>
  </si>
  <si>
    <t>Ind Minor</t>
  </si>
  <si>
    <t>Med Major</t>
  </si>
  <si>
    <t>Total Losses</t>
  </si>
  <si>
    <t>Indicated (Pre-Test)</t>
  </si>
  <si>
    <t>Present On Rate Level</t>
  </si>
  <si>
    <t>Expected Losses</t>
  </si>
  <si>
    <t>Credibility</t>
  </si>
  <si>
    <t>Payroll (in 00)</t>
  </si>
  <si>
    <t>Type</t>
  </si>
  <si>
    <t xml:space="preserve">Present On Rate Level in Expected Loss Report </t>
  </si>
  <si>
    <t>IBNR + Frequency Factors</t>
  </si>
  <si>
    <t>Indicated Pre-Test in Expected Loss Report (RAV40TFD)</t>
  </si>
  <si>
    <t>Sum of Expected Losses</t>
  </si>
  <si>
    <t>Sum of Expected Losses2</t>
  </si>
  <si>
    <t>Sum of Expected Losses3</t>
  </si>
  <si>
    <t>Sum of PAYROLL</t>
  </si>
  <si>
    <t>Sum of PAYROLL2</t>
  </si>
  <si>
    <t>Sum of PAYROLL3</t>
  </si>
  <si>
    <t>PRE-TEST</t>
  </si>
  <si>
    <t>I</t>
  </si>
  <si>
    <t>II</t>
  </si>
  <si>
    <t>III</t>
  </si>
  <si>
    <t>ALL</t>
  </si>
  <si>
    <t>ADJUSTMENT FACTOR</t>
  </si>
  <si>
    <t>*  GIVE DP ONLY 3 DECIMAL PLACES</t>
  </si>
  <si>
    <t>GRAND TOTAL WEIGHT =</t>
  </si>
  <si>
    <t># 1.3813 = (1.4413 * 0.6667) + [1.2613 * (1-1.6667)]</t>
  </si>
  <si>
    <t>= Ft * Wt + Fi * (1-Wt)</t>
  </si>
  <si>
    <t>Ft = Factor (Grand Total)</t>
  </si>
  <si>
    <t>Ft = Factor (By Haz Grp &amp; TOI)</t>
  </si>
  <si>
    <t>Wt = Grand Total Weight</t>
  </si>
  <si>
    <t>WCIOStateCode</t>
  </si>
  <si>
    <t>ClassCodeNbr</t>
  </si>
  <si>
    <t>ClassCodeName</t>
  </si>
  <si>
    <t>PremiumBasisCode</t>
  </si>
  <si>
    <t>PayRoll</t>
  </si>
  <si>
    <t>DeathCnt</t>
  </si>
  <si>
    <t>PTCnt</t>
  </si>
  <si>
    <t>MajorCnt</t>
  </si>
  <si>
    <t>MinorCnt</t>
  </si>
  <si>
    <t>TempCnt</t>
  </si>
  <si>
    <t>DeathIndem</t>
  </si>
  <si>
    <t>PTIndem</t>
  </si>
  <si>
    <t>MajorIndem</t>
  </si>
  <si>
    <t>MinorIndem</t>
  </si>
  <si>
    <t>TempIndem</t>
  </si>
  <si>
    <t>DeathMed</t>
  </si>
  <si>
    <t>PTMed</t>
  </si>
  <si>
    <t>MajorMed</t>
  </si>
  <si>
    <t>MinorMed</t>
  </si>
  <si>
    <t>TempMed</t>
  </si>
  <si>
    <t>MedOnly</t>
  </si>
  <si>
    <t>PAY</t>
  </si>
  <si>
    <t>TYPE</t>
  </si>
  <si>
    <t>Source: D07</t>
  </si>
  <si>
    <t>Source: 10K RUN</t>
  </si>
  <si>
    <t>Steps of calculating factors</t>
  </si>
  <si>
    <t>Source: D08</t>
  </si>
  <si>
    <t>Copy and Paste here</t>
  </si>
  <si>
    <t>Class2</t>
  </si>
  <si>
    <t xml:space="preserve"> Class 1</t>
  </si>
  <si>
    <t>Definition</t>
  </si>
  <si>
    <t>POST_Test ADJUSTMENT</t>
  </si>
  <si>
    <t>INDICATED POST-TEST</t>
  </si>
  <si>
    <t>Make sure all of the classes are included in the list</t>
  </si>
  <si>
    <t>PT</t>
  </si>
  <si>
    <t>TT</t>
  </si>
  <si>
    <t>Claim Count</t>
  </si>
  <si>
    <t xml:space="preserve">PYV Proposed Present Rate </t>
  </si>
  <si>
    <t>See PYV.xlsx</t>
  </si>
  <si>
    <t>PYV Proposed Present Rate</t>
  </si>
  <si>
    <t>Payroll Conversion Factor</t>
  </si>
  <si>
    <t>Source: D08/PAYROLL.tab</t>
  </si>
  <si>
    <t>( Previous year's class count in Classbook + classes did't have PYV)</t>
  </si>
  <si>
    <t>=317+3</t>
  </si>
  <si>
    <t>Non-Payroll Class</t>
  </si>
  <si>
    <t>FILE:</t>
  </si>
  <si>
    <t>SOURCE:</t>
  </si>
  <si>
    <t>JOB RAV40TFD</t>
  </si>
  <si>
    <t>Ind</t>
  </si>
  <si>
    <t>Grp</t>
  </si>
  <si>
    <t>Code</t>
  </si>
  <si>
    <t>Pre Surcharge</t>
  </si>
  <si>
    <t xml:space="preserve">Source: </t>
  </si>
  <si>
    <t>Value</t>
  </si>
  <si>
    <t>CODE</t>
  </si>
  <si>
    <t>APP.</t>
  </si>
  <si>
    <t>MIN PREMS</t>
  </si>
  <si>
    <t>Expense Constant</t>
  </si>
  <si>
    <t>Rate Multiplier</t>
  </si>
  <si>
    <t>Sourcce: Brown Book page2</t>
  </si>
  <si>
    <t>Maximum Minimum Premium</t>
  </si>
  <si>
    <t>PAYROLL IN THOUS</t>
  </si>
  <si>
    <t>Column Labels</t>
  </si>
  <si>
    <t>Exposure Type</t>
  </si>
  <si>
    <t>MOCnt</t>
  </si>
  <si>
    <t>Payroll2</t>
  </si>
  <si>
    <t>Sum of Payroll2</t>
  </si>
  <si>
    <t>Use this Pivot table for 'IBNR+Freq' tab. Select only PAY and UNIT in Premiumbasiscode dropdown box</t>
  </si>
  <si>
    <t>Payroll from Data_Payroll.tab, Column L~S</t>
  </si>
  <si>
    <t>See Data_Loss.tab</t>
  </si>
  <si>
    <t>Final Section B, med only</t>
  </si>
  <si>
    <t>Row</t>
  </si>
  <si>
    <t>Capped Amt</t>
  </si>
  <si>
    <t>Sum of Ind Death</t>
  </si>
  <si>
    <t>Sum of Ind pt</t>
  </si>
  <si>
    <t>Sum of Ind Maj</t>
  </si>
  <si>
    <t>Sum of Ind Min</t>
  </si>
  <si>
    <t>Sum of Ind TT</t>
  </si>
  <si>
    <t>Sum of Med Death</t>
  </si>
  <si>
    <t>Sum of Med pt</t>
  </si>
  <si>
    <t>Sum of Med Maj</t>
  </si>
  <si>
    <t>Sum of Med Min</t>
  </si>
  <si>
    <t>Sum of Med TT</t>
  </si>
  <si>
    <t>Derived By Formula</t>
  </si>
  <si>
    <t>PRE. ON RATE LEV</t>
  </si>
  <si>
    <t>IND POST</t>
  </si>
  <si>
    <t>DERIVED</t>
  </si>
  <si>
    <t>PAYROLLS REFLECTING STANDARD EXCEPTIONS</t>
  </si>
  <si>
    <t>MED. ONLY</t>
  </si>
  <si>
    <t>INDEMNITY</t>
  </si>
  <si>
    <t>PURE PREM.</t>
  </si>
  <si>
    <t>REPORTED</t>
  </si>
  <si>
    <t>NUMBER OF CASES</t>
  </si>
  <si>
    <t>Classes with missing PYV</t>
  </si>
  <si>
    <t>R:\rr\De2021\Classbook\Run_1</t>
  </si>
  <si>
    <t>8/10/2021</t>
  </si>
  <si>
    <t>POLICY</t>
  </si>
  <si>
    <t>RUN #2</t>
  </si>
  <si>
    <t>PROPOSED PURE PREM</t>
  </si>
  <si>
    <t>Regular Classes</t>
  </si>
  <si>
    <t>Minimum Premium</t>
  </si>
  <si>
    <t>Do not include 9108</t>
  </si>
  <si>
    <t>TOTAL REPT.</t>
  </si>
  <si>
    <t>P. T.</t>
  </si>
  <si>
    <t>IBNR + FREQUENCY ADJUSTMENT</t>
  </si>
  <si>
    <t xml:space="preserve">   INDICATED (PRE-TEST)</t>
  </si>
  <si>
    <t xml:space="preserve">   PRESENT ON RATE LEVEL</t>
  </si>
  <si>
    <t xml:space="preserve">   UNDERLYING PRESENT RATE</t>
  </si>
  <si>
    <t xml:space="preserve"> IND. RATE </t>
  </si>
  <si>
    <t>+ PROPOSED</t>
  </si>
  <si>
    <t>CPPM</t>
  </si>
  <si>
    <t>PPR(3dec)</t>
  </si>
  <si>
    <t>Ind Rate(2 dec)</t>
  </si>
  <si>
    <t>RateTest</t>
  </si>
  <si>
    <t>Difference</t>
  </si>
  <si>
    <t/>
  </si>
  <si>
    <t>CHECKING</t>
  </si>
  <si>
    <t>R/NR</t>
  </si>
  <si>
    <t>Sum of Difference</t>
  </si>
  <si>
    <t>Control total for reviewed classes should be 0</t>
  </si>
  <si>
    <t>Medical Only</t>
  </si>
  <si>
    <t xml:space="preserve">     </t>
  </si>
  <si>
    <t>EXPECTED LOSS CREDIBILITY TABLE</t>
  </si>
  <si>
    <t xml:space="preserve">        R/R :</t>
  </si>
  <si>
    <t>Average</t>
  </si>
  <si>
    <t>------</t>
  </si>
  <si>
    <t># Claims</t>
  </si>
  <si>
    <t>100% Stnd.</t>
  </si>
  <si>
    <t>% of N-S</t>
  </si>
  <si>
    <t>Partial Factor</t>
  </si>
  <si>
    <t>Left Endpoint = S * (C - 0.005)^(1/f) + 0.4999</t>
  </si>
  <si>
    <t xml:space="preserve">                          C = (E / S)^f</t>
  </si>
  <si>
    <t>Payroll Adjustment Factors</t>
  </si>
  <si>
    <t>FILE: D97D10; p.2</t>
  </si>
  <si>
    <t>SOURCE: TABLE V, SECTION B</t>
  </si>
  <si>
    <t>SOURCE: P97D10; p.1</t>
  </si>
  <si>
    <t>SOURCE: TABLE V, SECTIONS B &amp; C;</t>
  </si>
  <si>
    <t xml:space="preserve">  SOURCE: TABLE V, SECTIONS B &amp; C;</t>
  </si>
  <si>
    <t>SOURCE: BROWN BOOK PAGES 1 &amp; 2</t>
  </si>
  <si>
    <t xml:space="preserve">                                                                                               </t>
  </si>
  <si>
    <t>CALCULATION OF IBNR AMOUNTS</t>
  </si>
  <si>
    <t>CREDIBILITY TABLE  +</t>
  </si>
  <si>
    <t>DERIVATION OF (IND+MED) IBNR FACTOR FOR CLASS BOOK</t>
  </si>
  <si>
    <t>CALCULATION OF PER CLAIM AND CATASTROPHE LIMITATIONS</t>
  </si>
  <si>
    <t>ON-LEVEL FACTORS</t>
  </si>
  <si>
    <t>MAX / MIN SWING</t>
  </si>
  <si>
    <t>DERIVATION OF MED-ONLY IBNR FACTOR FOR CLASS BOOK</t>
  </si>
  <si>
    <t xml:space="preserve">Loss amounts shown in this Class Book attributable to IBNR (incurred </t>
  </si>
  <si>
    <t>(YIELDS RATE CHANGE COMPONENTS {EXPERIENCE, ETC.} AT THE SAME POINT</t>
  </si>
  <si>
    <t>SECTION B - EXCLUDING IBNR + FREQ (in hundreds)</t>
  </si>
  <si>
    <t>NON SERIOUS</t>
  </si>
  <si>
    <t xml:space="preserve">but not reported losses) include frequency trend and are calculated as </t>
  </si>
  <si>
    <t>IN TIME AS THE UNDERLYING PREMIUM)</t>
  </si>
  <si>
    <t xml:space="preserve">     The classification relativity criteria for 100 percent credibility for the various categories of loss</t>
  </si>
  <si>
    <t>a function of expected losses.  The factors used appear below:</t>
  </si>
  <si>
    <t xml:space="preserve">     are as follows:</t>
  </si>
  <si>
    <t xml:space="preserve">INDEMNITY </t>
  </si>
  <si>
    <t xml:space="preserve">  SWING = INDUSTRY GROUP CHANGE IN RESIDUAL MARKET RATE LEVEL </t>
  </si>
  <si>
    <t>+/- 25%, ROUNDED TO NEAREST 1%</t>
  </si>
  <si>
    <t xml:space="preserve">                Serious:  175 * Average Cost of Serious Case (including Medical)</t>
  </si>
  <si>
    <t>Based on</t>
  </si>
  <si>
    <t xml:space="preserve"> E / S =  C ^ 1.5</t>
  </si>
  <si>
    <t>where C = Credibility</t>
  </si>
  <si>
    <t xml:space="preserve">Item                     </t>
  </si>
  <si>
    <t xml:space="preserve">         Non-Serious:  500 * Average Cost of Non-Serious Case (including Medical)</t>
  </si>
  <si>
    <t xml:space="preserve">          E = Expected Losses</t>
  </si>
  <si>
    <t xml:space="preserve">                Medical:   10 Percent of the Non-Serious</t>
  </si>
  <si>
    <t xml:space="preserve">          S = 100% Credibility Point</t>
  </si>
  <si>
    <t>INVERSE OF</t>
  </si>
  <si>
    <t>IBNR</t>
  </si>
  <si>
    <t>ON-LEVEL</t>
  </si>
  <si>
    <t>PREM DEVEL</t>
  </si>
  <si>
    <t xml:space="preserve">INJURY TYPE                </t>
  </si>
  <si>
    <t xml:space="preserve">            (LATEST BENEFIT CHANGE)(PRIOR PERMISSIBLE LOSS &amp; LAE RATIO)</t>
  </si>
  <si>
    <t>(1) Pure Premium Test Correction Factor</t>
  </si>
  <si>
    <t>The following calculations are based on the figures in Table V, Section B.</t>
  </si>
  <si>
    <t xml:space="preserve">MANUAL  </t>
  </si>
  <si>
    <t>SECTION B</t>
  </si>
  <si>
    <t>SECTION C</t>
  </si>
  <si>
    <t>[ (3) - (2) ] / (3)</t>
  </si>
  <si>
    <t>AND TREND</t>
  </si>
  <si>
    <t>(4) * (5) * (6)</t>
  </si>
  <si>
    <t xml:space="preserve">YEAR     </t>
  </si>
  <si>
    <t>(5)</t>
  </si>
  <si>
    <t>(6)</t>
  </si>
  <si>
    <t>(7)</t>
  </si>
  <si>
    <t>(2) Off-Balance Factor (Collectible Prem Ratio)</t>
  </si>
  <si>
    <t>AVERAGE</t>
  </si>
  <si>
    <t xml:space="preserve"> +/- 25%, ROUNDED TO NEAREST 1%</t>
  </si>
  <si>
    <t xml:space="preserve">   No.</t>
  </si>
  <si>
    <t>COST</t>
  </si>
  <si>
    <t>INCL. MEDICAL</t>
  </si>
  <si>
    <t>Cases</t>
  </si>
  <si>
    <t>AMOUNT</t>
  </si>
  <si>
    <t>(4) / (1)</t>
  </si>
  <si>
    <t>SECTION C - INCLUDING IBNR + FREQ (in hundreds)</t>
  </si>
  <si>
    <t xml:space="preserve">        /</t>
  </si>
  <si>
    <t>TOTAL  *</t>
  </si>
  <si>
    <t>(</t>
  </si>
  <si>
    <t>)(</t>
  </si>
  <si>
    <t>)</t>
  </si>
  <si>
    <t>Hazard</t>
  </si>
  <si>
    <t>Hazard Group</t>
  </si>
  <si>
    <t>Per Claim Limit</t>
  </si>
  <si>
    <t>Per Accident Limit</t>
  </si>
  <si>
    <t>Permanent Total</t>
  </si>
  <si>
    <t>Group</t>
  </si>
  <si>
    <t>Relativities *</t>
  </si>
  <si>
    <t>(3) * 2</t>
  </si>
  <si>
    <t xml:space="preserve">    </t>
  </si>
  <si>
    <t>Total Serious</t>
  </si>
  <si>
    <t xml:space="preserve">                   </t>
  </si>
  <si>
    <t>* In the past, on-level factors were determined by industry group using the industry</t>
  </si>
  <si>
    <t>Temporary</t>
  </si>
  <si>
    <t xml:space="preserve">     group relativities with the standard basis change.  Since industry group relativities</t>
  </si>
  <si>
    <t xml:space="preserve">                </t>
  </si>
  <si>
    <t>(IN HUNDREDS)</t>
  </si>
  <si>
    <t xml:space="preserve">  INV OF</t>
  </si>
  <si>
    <t xml:space="preserve">  IBNR</t>
  </si>
  <si>
    <t xml:space="preserve">     are no longer computed, the on-level factor will only be reported on the total basis,</t>
  </si>
  <si>
    <t>Total Non-Serious</t>
  </si>
  <si>
    <t>MAN</t>
  </si>
  <si>
    <t xml:space="preserve">  SEC B</t>
  </si>
  <si>
    <t xml:space="preserve">  SEC C</t>
  </si>
  <si>
    <t xml:space="preserve">    (3)-(2)</t>
  </si>
  <si>
    <t xml:space="preserve">  ON-LEVEL</t>
  </si>
  <si>
    <t xml:space="preserve">  PREM DEV</t>
  </si>
  <si>
    <t xml:space="preserve">  FACTOR</t>
  </si>
  <si>
    <t xml:space="preserve">     and there will be no distinction between the industry groups.</t>
  </si>
  <si>
    <t xml:space="preserve">  TOTAL</t>
  </si>
  <si>
    <t xml:space="preserve">    /(3)</t>
  </si>
  <si>
    <t xml:space="preserve">  +TREND</t>
  </si>
  <si>
    <t xml:space="preserve"> (4)*(5)*(6)</t>
  </si>
  <si>
    <t xml:space="preserve">  (2)</t>
  </si>
  <si>
    <t xml:space="preserve">  (3)</t>
  </si>
  <si>
    <t xml:space="preserve">    (4)</t>
  </si>
  <si>
    <t xml:space="preserve">  (5)</t>
  </si>
  <si>
    <t xml:space="preserve">  (6)</t>
  </si>
  <si>
    <t xml:space="preserve">  (7)</t>
  </si>
  <si>
    <t>Accordingly, the criteria for 100 percent credibility will be:</t>
  </si>
  <si>
    <t xml:space="preserve">    IBNR</t>
  </si>
  <si>
    <t>SEC B</t>
  </si>
  <si>
    <t xml:space="preserve">  (3)-(2)</t>
  </si>
  <si>
    <t xml:space="preserve">    FACTOR</t>
  </si>
  <si>
    <t xml:space="preserve">  /(3)</t>
  </si>
  <si>
    <t xml:space="preserve">   (4)*(5)*(6)</t>
  </si>
  <si>
    <t xml:space="preserve">  (4)</t>
  </si>
  <si>
    <t xml:space="preserve">     (7)</t>
  </si>
  <si>
    <t xml:space="preserve">     +  All classes are at least 5% credible.</t>
  </si>
  <si>
    <t>Given to Bill Taggart:</t>
  </si>
  <si>
    <t xml:space="preserve">              Serious:   175 *</t>
  </si>
  <si>
    <t xml:space="preserve">       Non-Serious:  500 *</t>
  </si>
  <si>
    <t>OLF = (INDICATED STD BASIS CHANGE)(PROPOSED PERMIS LOSS &amp; LAE RATIO)    x</t>
  </si>
  <si>
    <t>DETERMINATION OF PAYROLL AND LOSSES FOR</t>
  </si>
  <si>
    <t>PAYROLL-BASED CLASSES</t>
  </si>
  <si>
    <t>Classification Credibility Table</t>
  </si>
  <si>
    <t>Payroll Conversion Factors</t>
  </si>
  <si>
    <t>"PAYROLL"</t>
  </si>
  <si>
    <t>Convert the Expected Loss Credibility Table to a Payroll Basis</t>
  </si>
  <si>
    <t>Previous Year</t>
  </si>
  <si>
    <t>EXPOSURE</t>
  </si>
  <si>
    <t>BASED</t>
  </si>
  <si>
    <t>EXPOSURES</t>
  </si>
  <si>
    <t>A)</t>
  </si>
  <si>
    <t>Five Year Payroll (00's)</t>
  </si>
  <si>
    <t>SUBTOTAL</t>
  </si>
  <si>
    <t xml:space="preserve">B) </t>
  </si>
  <si>
    <t>Five Year Expected Losses *</t>
  </si>
  <si>
    <t>TOTALS:</t>
  </si>
  <si>
    <t>C) =A/B</t>
  </si>
  <si>
    <t>Ratio Payroll to Expected Loss</t>
  </si>
  <si>
    <t>D22D08.XLS</t>
  </si>
  <si>
    <t>Sum of LOSSES</t>
  </si>
  <si>
    <t>Sum of LOSSES2</t>
  </si>
  <si>
    <t>LOSSES2</t>
  </si>
  <si>
    <t xml:space="preserve">MAXIMUM MINIMUM PREMIUM = </t>
  </si>
  <si>
    <t>Expected Loss Factor</t>
  </si>
  <si>
    <t>* Expected losses associated with payroll based classifications only</t>
  </si>
  <si>
    <t>6824F</t>
  </si>
  <si>
    <t>6826F</t>
  </si>
  <si>
    <t>6843F</t>
  </si>
  <si>
    <t>6872F</t>
  </si>
  <si>
    <t>7309F</t>
  </si>
  <si>
    <t>7313F</t>
  </si>
  <si>
    <t>7317F</t>
  </si>
  <si>
    <t>7327F</t>
  </si>
  <si>
    <t>7366F</t>
  </si>
  <si>
    <t>8709F</t>
  </si>
  <si>
    <t>8726F</t>
  </si>
  <si>
    <t>PYV (Pure Premium)</t>
  </si>
  <si>
    <t>Sum</t>
  </si>
  <si>
    <t>Min</t>
  </si>
  <si>
    <t>Maj</t>
  </si>
  <si>
    <t>10K Run factors</t>
  </si>
  <si>
    <t>Table V factor</t>
  </si>
  <si>
    <t>4 TO 5</t>
  </si>
  <si>
    <t>3 TO 4</t>
  </si>
  <si>
    <t>2 TO 3</t>
  </si>
  <si>
    <t>1 TO 2</t>
  </si>
  <si>
    <t>STAGE</t>
  </si>
  <si>
    <t>INJ.</t>
  </si>
  <si>
    <t>DEVEL.</t>
  </si>
  <si>
    <t>Source: B 01 Loss Development Factors</t>
  </si>
  <si>
    <t>Table V Factors</t>
  </si>
  <si>
    <t>TOTAL =</t>
  </si>
  <si>
    <t>APPLICABLE TO RATES (I.e. CASPER)</t>
  </si>
  <si>
    <t>F-CLASS</t>
  </si>
  <si>
    <t>6.</t>
  </si>
  <si>
    <t xml:space="preserve">From Rate Test </t>
  </si>
  <si>
    <t>CLASS  SHIP BUILDING IRON OR STEEL</t>
  </si>
  <si>
    <t>CLASS  SHIP REPAIR OR CONVRSN-ALL OPER.</t>
  </si>
  <si>
    <t>CLASS  STEVEDORING, N.O.C.</t>
  </si>
  <si>
    <t>CLASS  COAL DOCK OPER. AND STEVEDORING</t>
  </si>
  <si>
    <t>CLASS  STEVEDORING-CONTAINERIZED FREIGHT</t>
  </si>
  <si>
    <t>CLASS  FREIGHT HANDLERS</t>
  </si>
  <si>
    <t>CLASS  STEVDRNG-TALYMN &amp; CHECKING CLERKS</t>
  </si>
  <si>
    <t>CLASS  STEAMSHIP LINE OR AGENCY-PORT EMP</t>
  </si>
  <si>
    <t>CLASS  STEVDRNG-BY HAND OR HND TRK EXCLV</t>
  </si>
  <si>
    <t>FEDERAL</t>
  </si>
  <si>
    <t>XI</t>
  </si>
  <si>
    <t xml:space="preserve">             Medical:  .10 *</t>
  </si>
  <si>
    <t>Selected @</t>
  </si>
  <si>
    <t>REGULAR = (310 * RATE) + EXPENSE CONSTANT</t>
  </si>
  <si>
    <r>
      <t xml:space="preserve">ELF =    </t>
    </r>
    <r>
      <rPr>
        <u/>
        <sz val="10"/>
        <rFont val="Arial"/>
        <family val="2"/>
      </rPr>
      <t>CURRENT PERMISSIBLE LOSS AND LOSS ADJUSTMENT EXPENSE RATIO</t>
    </r>
    <r>
      <rPr>
        <sz val="10"/>
        <rFont val="Arial"/>
        <family val="2"/>
      </rPr>
      <t xml:space="preserve"> </t>
    </r>
  </si>
  <si>
    <t xml:space="preserve">    CURRENT COLLECTIBLE PREMIUM RATIO </t>
  </si>
  <si>
    <t>Calculation of Composite Pure Premium Multiplier</t>
  </si>
  <si>
    <t>From Classbook (web) - Classbook pages row 36</t>
  </si>
  <si>
    <t>(blank)</t>
  </si>
  <si>
    <t xml:space="preserve">SOURCE: </t>
  </si>
  <si>
    <t>ANALYSIS OF EXPERIENCE.XLSX</t>
  </si>
  <si>
    <t>(All)</t>
  </si>
  <si>
    <t xml:space="preserve">       FILE: PAF23D08; p.1</t>
  </si>
  <si>
    <t>PA 2023 F CLASS R/R</t>
  </si>
  <si>
    <t xml:space="preserve">       FILE: PAF23D08; p.2</t>
  </si>
  <si>
    <t>SOURCE:PAFD08; p.1</t>
  </si>
  <si>
    <t xml:space="preserve">       FILE: PAF22D08; p.3</t>
  </si>
  <si>
    <t xml:space="preserve">     PAF23B06, PAYROLL TREND; PA23D08; p.8</t>
  </si>
  <si>
    <t xml:space="preserve">       FILE: PAF23D08; p.4</t>
  </si>
  <si>
    <t xml:space="preserve">   PAFD23D06, PAYROLL TREND; PAF23D08; p.8</t>
  </si>
  <si>
    <t xml:space="preserve">          FILE: PAF23D08; p.5</t>
  </si>
  <si>
    <t>PAF23B06, PAYROLL TREND; PAF23D08; p.8</t>
  </si>
  <si>
    <t xml:space="preserve">       FILE: PAF23D08; p.6</t>
  </si>
  <si>
    <t>SOURCE: PAF23D08; pp. 3-5</t>
  </si>
  <si>
    <t xml:space="preserve">       FILE: PAF23D08; p.7</t>
  </si>
  <si>
    <t>SOURCE: PAF23 BROWN BOOK</t>
  </si>
  <si>
    <t xml:space="preserve">       FILE: PAF23D08; p. 8</t>
  </si>
  <si>
    <t xml:space="preserve">       FILE: PAF23D08; p.9</t>
  </si>
  <si>
    <t xml:space="preserve">       FILE: PAF23D08; p.10</t>
  </si>
  <si>
    <t>SOURCE: PAF23D08, pp. 1-9</t>
  </si>
  <si>
    <t>Pennsylvania F-Class Rate Revision</t>
  </si>
  <si>
    <t>Proposed Effective December 1, 2023</t>
  </si>
  <si>
    <t xml:space="preserve">       FILE: P21D08</t>
  </si>
  <si>
    <t>PA 2021 LCR</t>
  </si>
  <si>
    <t>SOURCE: P21D08</t>
  </si>
  <si>
    <t>11/29/2020</t>
  </si>
  <si>
    <t>PAYROLL CREDIBILITY TABLE</t>
  </si>
  <si>
    <t xml:space="preserve">Given to Kevin Katz: </t>
  </si>
  <si>
    <t>11/30/2020</t>
  </si>
  <si>
    <t>CREDIBILITY TABLE FACTORS -Copied from PA2023</t>
  </si>
  <si>
    <t>P23D08.XLS</t>
  </si>
  <si>
    <t>PA23D08, p15</t>
  </si>
  <si>
    <t>PAF23D08; p.15</t>
  </si>
  <si>
    <t>G:\SHEETS\PAF20xx\Class Book &amp; Rate Test\RATETEST@20xx20.xlsx\RATETEST.tab</t>
  </si>
  <si>
    <t>Get the limited losses from R:\rr\PAF3023\Classbook\Run_1 directory. Then combine CAT and Non-CAT</t>
  </si>
  <si>
    <t xml:space="preserve">       FILE: PA23D08;CREDIBILITY</t>
  </si>
  <si>
    <t>SOURCE: PA23D08; p.1</t>
  </si>
  <si>
    <t>PA 2023 RM&amp;LCR</t>
  </si>
  <si>
    <t>PA2023 RM&amp;LCR</t>
  </si>
  <si>
    <t>PAF2023_PA-FIN-2_RAV40TFD_Expected_Loss_Report_with_Payroll</t>
  </si>
  <si>
    <t xml:space="preserve">PAF2023_PA-FIN-3_RAV28TFD_Pure_Premium_Rate_Test </t>
  </si>
  <si>
    <t>Source: G:\SHEETS\PA20xx-1\Class Book &amp; Rate Test\ratepage @ 20xx-1 AMENDED.xlsx</t>
  </si>
  <si>
    <t>37</t>
  </si>
  <si>
    <t>6843f</t>
  </si>
  <si>
    <t>Use Column M, Proposed Rate  Pre Surcharge</t>
  </si>
  <si>
    <t>Section b</t>
  </si>
  <si>
    <t>PAF2021_PA-FIN-2_RAV40TFD_Expected_Loss_Report_with_Payroll</t>
  </si>
  <si>
    <t>PAF 2021 - POST-TEST ADJUSTMENT FACTORS FOR CLASSBOOK</t>
  </si>
  <si>
    <t>@ From the proposed PA State Act Coverage Loss Cost filing of 4/1/23.</t>
  </si>
  <si>
    <t>11/25/2022</t>
  </si>
  <si>
    <t>(4) Rate Test Correction Factor</t>
  </si>
  <si>
    <t>(5) Composite Pure Premium Multiplier</t>
  </si>
  <si>
    <t xml:space="preserve">    (1)*(2)*(3)*(4)</t>
  </si>
  <si>
    <t>PAF 2023 RM&amp;LCR</t>
  </si>
  <si>
    <t>6824</t>
  </si>
  <si>
    <t>Boat Building or Repair</t>
  </si>
  <si>
    <t>6826</t>
  </si>
  <si>
    <t>Marina (6826)</t>
  </si>
  <si>
    <t>6843</t>
  </si>
  <si>
    <t>Ship Building Iron or Steel</t>
  </si>
  <si>
    <t>6872</t>
  </si>
  <si>
    <t>Ship Repair or Convrsn-All Oper.</t>
  </si>
  <si>
    <t>7309</t>
  </si>
  <si>
    <t>Stevedoring, N.O.C.</t>
  </si>
  <si>
    <t>7313</t>
  </si>
  <si>
    <t>Coal Dock Oper. and Stevedoring</t>
  </si>
  <si>
    <t>7317</t>
  </si>
  <si>
    <t>Stevdrng-by Hand or HND TRK Exclv</t>
  </si>
  <si>
    <t>7327</t>
  </si>
  <si>
    <t>Stevedoring-Containerized Freight</t>
  </si>
  <si>
    <t>7366</t>
  </si>
  <si>
    <t>Freight Handlers</t>
  </si>
  <si>
    <t>8709</t>
  </si>
  <si>
    <t>Stevdrng-Talymn &amp; Checking Clerks</t>
  </si>
  <si>
    <t>8726</t>
  </si>
  <si>
    <t>Steamship Line or Agency-Port EMP</t>
  </si>
  <si>
    <t>9999</t>
  </si>
  <si>
    <t>WC018342102</t>
  </si>
  <si>
    <t>F:\Departments\Actuarial\Cat&amp;LimitesdLosses\PAF2023\CAT_Limited Loss_PAF2023.xlsm</t>
  </si>
  <si>
    <t>38</t>
  </si>
  <si>
    <t>39</t>
  </si>
  <si>
    <t>40</t>
  </si>
  <si>
    <t>Class(F)</t>
  </si>
  <si>
    <t>2YRS PAYROLL</t>
  </si>
  <si>
    <t>4-1-23</t>
  </si>
  <si>
    <r>
      <t xml:space="preserve">All Death, Permanent Total and Major Disability claims in the Pennsylvania experience for Manual
Years </t>
    </r>
    <r>
      <rPr>
        <sz val="10"/>
        <color rgb="FF0000FF"/>
        <rFont val="Arial"/>
        <family val="2"/>
      </rPr>
      <t>2015</t>
    </r>
    <r>
      <rPr>
        <sz val="10"/>
        <rFont val="Arial"/>
        <family val="2"/>
      </rPr>
      <t xml:space="preserve"> through </t>
    </r>
    <r>
      <rPr>
        <sz val="10"/>
        <color rgb="FF0000FF"/>
        <rFont val="Arial"/>
        <family val="2"/>
      </rPr>
      <t>2019</t>
    </r>
    <r>
      <rPr>
        <sz val="10"/>
        <rFont val="Arial"/>
        <family val="2"/>
      </rPr>
      <t xml:space="preserve"> were translated using composite multipliers, yielding an average claim
value of $</t>
    </r>
    <r>
      <rPr>
        <sz val="10"/>
        <color rgb="FF0000FF"/>
        <rFont val="Arial"/>
        <family val="2"/>
      </rPr>
      <t>7,820</t>
    </r>
    <r>
      <rPr>
        <sz val="10"/>
        <rFont val="Arial"/>
        <family val="2"/>
      </rPr>
      <t>.  A value of $</t>
    </r>
    <r>
      <rPr>
        <sz val="10"/>
        <color rgb="FF0000FF"/>
        <rFont val="Arial"/>
        <family val="2"/>
      </rPr>
      <t>560,815</t>
    </r>
    <r>
      <rPr>
        <sz val="10"/>
        <rFont val="Arial"/>
        <family val="2"/>
      </rPr>
      <t xml:space="preserve"> was selected based on a review of Pennsylvania State Act 
coverage experience as reported in the proposed </t>
    </r>
    <r>
      <rPr>
        <sz val="10"/>
        <color rgb="FF0000FF"/>
        <rFont val="Arial"/>
        <family val="2"/>
      </rPr>
      <t>4/1/23</t>
    </r>
    <r>
      <rPr>
        <sz val="10"/>
        <rFont val="Arial"/>
        <family val="2"/>
      </rPr>
      <t xml:space="preserve"> Loss Cost Filing.  Using twice the value 
as unity and using the indicated Hazard Group Relativities produced the following results:</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</si>
</sst>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3">
    <numFmt numFmtId="44" formatCode="_(&quot;$&quot;* #,##0.00_);_(&quot;$&quot;* \(#,##0.00\);_(&quot;$&quot;* &quot;-&quot;??_);_(@_)"/>
    <numFmt numFmtId="43" formatCode="_(* #,##0.00_);_(* \(#,##0.00\);_(* &quot;-&quot;??_);_(@_)"/>
    <numFmt numFmtId="164" formatCode="General_)"/>
    <numFmt numFmtId="165" formatCode="0.00_)"/>
    <numFmt numFmtId="166" formatCode="0.0000_)"/>
    <numFmt numFmtId="167" formatCode="0.000_)"/>
    <numFmt numFmtId="168" formatCode="_(* #,##0_);_(* \(#,##0\);_(* &quot;-&quot;??_);_(@_)"/>
    <numFmt numFmtId="169" formatCode="_(* #,##0.000_);_(* \(#,##0.000\);_(* &quot;-&quot;??_);_(@_)"/>
    <numFmt numFmtId="170" formatCode="#,##0.0000_);\(#,##0.0000\)"/>
    <numFmt numFmtId="171" formatCode="_(* #,##0.0000_);_(* \(#,##0.0000\);_(* &quot;-&quot;??_);_(@_)"/>
    <numFmt numFmtId="172" formatCode="0000"/>
    <numFmt numFmtId="173" formatCode="0.0000"/>
    <numFmt numFmtId="174" formatCode="_(&quot;$&quot;* #,##0_);_(&quot;$&quot;* \(#,##0\);_(&quot;$&quot;* &quot;-&quot;??_);_(@_)"/>
    <numFmt numFmtId="175" formatCode="0.000"/>
    <numFmt numFmtId="176" formatCode="_(* #,##0.00000_);_(* \(#,##0.00000\);_(* &quot;-&quot;??_);_(@_)"/>
    <numFmt numFmtId="177" formatCode="0.0%"/>
    <numFmt numFmtId="178" formatCode="yyyy\-mm\-dd;@"/>
    <numFmt numFmtId="179" formatCode="&quot;$&quot;#,##0"/>
    <numFmt numFmtId="180" formatCode="#,##0.000_);\(#,##0.000\)"/>
    <numFmt numFmtId="181" formatCode="#,##0.0000"/>
    <numFmt numFmtId="182" formatCode="m\-d\-yy;@"/>
    <numFmt numFmtId="183" formatCode="m\-d\-yy"/>
    <numFmt numFmtId="184" formatCode="&quot;[ (2) *  $&quot;\ 000,000\ &quot;]* 2&quot;"/>
  </numFmts>
  <fonts count="120">
    <font>
      <sz val="8"/>
      <name val="Helv"/>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0"/>
      <name val="Arial"/>
      <family val="2"/>
    </font>
    <font>
      <b/>
      <sz val="8"/>
      <name val="Helv"/>
    </font>
    <font>
      <sz val="8"/>
      <name val="Helv"/>
    </font>
    <font>
      <sz val="10"/>
      <name val="Helv"/>
    </font>
    <font>
      <b/>
      <sz val="10"/>
      <name val="Helv"/>
    </font>
    <font>
      <sz val="8"/>
      <color rgb="FFFF0000"/>
      <name val="Helv"/>
    </font>
    <font>
      <sz val="8"/>
      <color rgb="FF0000FF"/>
      <name val="Helv"/>
    </font>
    <font>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57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sz val="10"/>
      <color rgb="FFFF0000"/>
      <name val="Arial"/>
      <family val="2"/>
    </font>
    <font>
      <b/>
      <sz val="10"/>
      <name val="Arial"/>
      <family val="2"/>
    </font>
    <font>
      <u/>
      <sz val="10"/>
      <name val="Helv"/>
    </font>
    <font>
      <sz val="12"/>
      <name val="Helv"/>
    </font>
    <font>
      <b/>
      <sz val="12"/>
      <name val="Times New Roman"/>
      <family val="1"/>
    </font>
    <font>
      <sz val="10"/>
      <name val="Times New Roman"/>
      <family val="1"/>
    </font>
    <font>
      <b/>
      <sz val="12"/>
      <name val="Arial"/>
      <family val="2"/>
    </font>
    <font>
      <u/>
      <sz val="10"/>
      <name val="Arial"/>
      <family val="2"/>
    </font>
    <font>
      <sz val="9"/>
      <color indexed="81"/>
      <name val="Tahoma"/>
      <family val="2"/>
    </font>
    <font>
      <b/>
      <sz val="9"/>
      <color indexed="81"/>
      <name val="Tahoma"/>
      <family val="2"/>
    </font>
    <font>
      <sz val="10"/>
      <color rgb="FF0000FF"/>
      <name val="Arial"/>
      <family val="2"/>
    </font>
    <font>
      <u/>
      <sz val="10"/>
      <color rgb="FF0000FF"/>
      <name val="Arial"/>
      <family val="2"/>
    </font>
    <font>
      <b/>
      <sz val="10"/>
      <color rgb="FFFF0000"/>
      <name val="Arial"/>
      <family val="2"/>
    </font>
    <font>
      <b/>
      <sz val="10"/>
      <color rgb="FFFF0000"/>
      <name val="Calibri"/>
      <family val="2"/>
      <scheme val="minor"/>
    </font>
    <font>
      <sz val="10"/>
      <name val="Calibri"/>
      <family val="2"/>
      <scheme val="minor"/>
    </font>
    <font>
      <b/>
      <sz val="10"/>
      <name val="Calibri"/>
      <family val="2"/>
      <scheme val="minor"/>
    </font>
    <font>
      <sz val="10"/>
      <color rgb="FF0000FF"/>
      <name val="Calibri"/>
      <family val="2"/>
      <scheme val="minor"/>
    </font>
    <font>
      <sz val="10"/>
      <color rgb="FFFF0000"/>
      <name val="Calibri"/>
      <family val="2"/>
      <scheme val="minor"/>
    </font>
    <font>
      <sz val="11"/>
      <color rgb="FF0000FF"/>
      <name val="Calibri"/>
      <family val="2"/>
      <scheme val="minor"/>
    </font>
    <font>
      <sz val="11"/>
      <name val="Calibri"/>
      <family val="2"/>
      <scheme val="minor"/>
    </font>
    <font>
      <b/>
      <sz val="14"/>
      <name val="Calibri"/>
      <family val="2"/>
      <scheme val="minor"/>
    </font>
    <font>
      <sz val="14"/>
      <name val="Calibri"/>
      <family val="2"/>
      <scheme val="minor"/>
    </font>
    <font>
      <b/>
      <sz val="11"/>
      <name val="Calibri"/>
      <family val="2"/>
      <scheme val="minor"/>
    </font>
    <font>
      <b/>
      <sz val="16"/>
      <name val="Calibri"/>
      <family val="2"/>
      <scheme val="minor"/>
    </font>
    <font>
      <b/>
      <sz val="11"/>
      <color rgb="FFFF0000"/>
      <name val="Calibri"/>
      <family val="2"/>
      <scheme val="minor"/>
    </font>
    <font>
      <b/>
      <sz val="11"/>
      <color rgb="FF0000FF"/>
      <name val="Calibri"/>
      <family val="2"/>
      <scheme val="minor"/>
    </font>
    <font>
      <b/>
      <sz val="12"/>
      <name val="Calibri"/>
      <family val="2"/>
      <scheme val="minor"/>
    </font>
    <font>
      <sz val="10"/>
      <color rgb="FF0000FF"/>
      <name val="Times New Roman"/>
      <family val="1"/>
    </font>
    <font>
      <b/>
      <sz val="8"/>
      <color rgb="FF0000FF"/>
      <name val="Helv"/>
    </font>
    <font>
      <b/>
      <sz val="10"/>
      <color rgb="FF0000FF"/>
      <name val="Calibri"/>
      <family val="2"/>
      <scheme val="minor"/>
    </font>
    <font>
      <b/>
      <u/>
      <sz val="10"/>
      <name val="Arial"/>
      <family val="2"/>
    </font>
    <font>
      <sz val="10"/>
      <color indexed="39"/>
      <name val="Arial"/>
      <family val="2"/>
    </font>
    <font>
      <sz val="10"/>
      <color indexed="10"/>
      <name val="Arial"/>
      <family val="2"/>
    </font>
    <font>
      <b/>
      <sz val="10"/>
      <color indexed="10"/>
      <name val="Arial"/>
      <family val="2"/>
    </font>
    <font>
      <b/>
      <sz val="12"/>
      <color rgb="FFFF0000"/>
      <name val="Calibri"/>
      <family val="2"/>
      <scheme val="minor"/>
    </font>
    <font>
      <sz val="12"/>
      <color rgb="FF0000FF"/>
      <name val="Calibri"/>
      <family val="2"/>
      <scheme val="minor"/>
    </font>
    <font>
      <sz val="12"/>
      <name val="Calibri"/>
      <family val="2"/>
      <scheme val="minor"/>
    </font>
    <font>
      <b/>
      <sz val="14"/>
      <color rgb="FFFF0000"/>
      <name val="Calibri"/>
      <family val="2"/>
      <scheme val="minor"/>
    </font>
    <font>
      <sz val="12"/>
      <color rgb="FFFF0000"/>
      <name val="Calibri"/>
      <family val="2"/>
      <scheme val="minor"/>
    </font>
    <font>
      <b/>
      <sz val="12"/>
      <color rgb="FF0000FF"/>
      <name val="Calibri"/>
      <family val="2"/>
      <scheme val="minor"/>
    </font>
    <font>
      <sz val="10"/>
      <color theme="1"/>
      <name val="Arial"/>
      <family val="2"/>
    </font>
    <font>
      <sz val="10"/>
      <name val="Courier"/>
      <family val="3"/>
    </font>
    <font>
      <sz val="12"/>
      <name val="Times New Roman"/>
      <family val="1"/>
    </font>
    <font>
      <sz val="8.5"/>
      <name val="Microsoft Sans Serif"/>
      <family val="2"/>
    </font>
    <font>
      <b/>
      <sz val="10"/>
      <color rgb="FF0000FF"/>
      <name val="Arial"/>
      <family val="2"/>
    </font>
    <font>
      <b/>
      <sz val="8"/>
      <color rgb="FFFF0000"/>
      <name val="Helv"/>
    </font>
    <font>
      <sz val="8"/>
      <name val="Arial"/>
      <family val="2"/>
    </font>
    <font>
      <b/>
      <sz val="8"/>
      <name val="Arial"/>
      <family val="2"/>
    </font>
    <font>
      <sz val="12"/>
      <name val="Times New Roman"/>
      <family val="1"/>
    </font>
    <font>
      <b/>
      <u/>
      <sz val="10"/>
      <name val="Helv"/>
    </font>
    <font>
      <sz val="10"/>
      <color rgb="FFFF0000"/>
      <name val="Helv"/>
    </font>
    <font>
      <b/>
      <sz val="8"/>
      <color indexed="81"/>
      <name val="Tahoma"/>
      <family val="2"/>
    </font>
    <font>
      <sz val="8"/>
      <color indexed="81"/>
      <name val="Tahoma"/>
      <family val="2"/>
    </font>
    <font>
      <b/>
      <u/>
      <sz val="12"/>
      <name val="Arial"/>
      <family val="2"/>
    </font>
    <font>
      <sz val="12"/>
      <name val="Arial"/>
      <family val="2"/>
    </font>
    <font>
      <b/>
      <sz val="10"/>
      <color rgb="FF00B050"/>
      <name val="Arial"/>
      <family val="2"/>
    </font>
    <font>
      <sz val="9"/>
      <name val="Univers (W1)"/>
      <family val="2"/>
    </font>
    <font>
      <b/>
      <sz val="10"/>
      <color indexed="8"/>
      <name val="Arial"/>
      <family val="2"/>
    </font>
    <font>
      <sz val="10"/>
      <color indexed="8"/>
      <name val="Arial"/>
      <family val="2"/>
    </font>
    <font>
      <sz val="11"/>
      <color rgb="FF000000"/>
      <name val="Calibri"/>
      <family val="2"/>
    </font>
    <font>
      <sz val="11"/>
      <color indexed="8"/>
      <name val="Calibri"/>
      <family val="2"/>
    </font>
    <font>
      <b/>
      <sz val="15"/>
      <color indexed="56"/>
      <name val="Calibri"/>
      <family val="2"/>
    </font>
    <font>
      <b/>
      <sz val="13"/>
      <color indexed="56"/>
      <name val="Calibri"/>
      <family val="2"/>
    </font>
    <font>
      <b/>
      <sz val="11"/>
      <color indexed="56"/>
      <name val="Calibri"/>
      <family val="2"/>
    </font>
    <font>
      <sz val="11"/>
      <color indexed="52"/>
      <name val="Calibri"/>
      <family val="2"/>
    </font>
    <font>
      <b/>
      <sz val="18"/>
      <color indexed="56"/>
      <name val="Cambria"/>
      <family val="2"/>
    </font>
    <font>
      <b/>
      <sz val="11"/>
      <color indexed="52"/>
      <name val="Calibri"/>
      <family val="2"/>
      <scheme val="minor"/>
    </font>
    <font>
      <sz val="11"/>
      <color indexed="60"/>
      <name val="Calibri"/>
      <family val="2"/>
      <scheme val="minor"/>
    </font>
    <font>
      <sz val="10"/>
      <color rgb="FFFF0000"/>
      <name val="Calibri"/>
      <family val="2"/>
    </font>
    <font>
      <sz val="10"/>
      <color indexed="12"/>
      <name val="Arial"/>
      <family val="2"/>
    </font>
    <font>
      <sz val="9"/>
      <color rgb="FF0000FF"/>
      <name val="Univers (W1)"/>
      <family val="2"/>
    </font>
    <font>
      <b/>
      <sz val="9"/>
      <name val="Univers (W1)"/>
    </font>
    <font>
      <b/>
      <u/>
      <sz val="9"/>
      <name val="Univers (W1)"/>
      <family val="2"/>
    </font>
    <font>
      <b/>
      <sz val="9"/>
      <name val="Univers (W1)"/>
      <family val="2"/>
    </font>
    <font>
      <b/>
      <sz val="8"/>
      <color theme="1"/>
      <name val="Arial"/>
      <family val="2"/>
    </font>
    <font>
      <sz val="9"/>
      <color rgb="FFFF0000"/>
      <name val="Arial"/>
      <family val="2"/>
    </font>
    <font>
      <sz val="9"/>
      <color indexed="10"/>
      <name val="Arial"/>
      <family val="2"/>
    </font>
    <font>
      <sz val="9"/>
      <color rgb="FF0000FF"/>
      <name val="Arial"/>
      <family val="2"/>
    </font>
    <font>
      <b/>
      <u/>
      <sz val="8"/>
      <name val="Arial"/>
      <family val="2"/>
    </font>
    <font>
      <u/>
      <sz val="10"/>
      <color indexed="12"/>
      <name val="Arial"/>
      <family val="2"/>
    </font>
    <font>
      <b/>
      <sz val="10"/>
      <color indexed="12"/>
      <name val="Arial"/>
      <family val="2"/>
    </font>
    <font>
      <sz val="10"/>
      <color rgb="FF0000FF"/>
      <name val="Helv"/>
    </font>
    <font>
      <sz val="10"/>
      <color indexed="12"/>
      <name val="Helv"/>
    </font>
    <font>
      <sz val="9"/>
      <name val="Calibri"/>
      <family val="2"/>
      <scheme val="minor"/>
    </font>
    <font>
      <sz val="9"/>
      <color rgb="FF0000FF"/>
      <name val="Calibri"/>
      <family val="2"/>
      <scheme val="minor"/>
    </font>
    <font>
      <sz val="9"/>
      <color theme="1"/>
      <name val="Calibri"/>
      <family val="2"/>
      <scheme val="minor"/>
    </font>
  </fonts>
  <fills count="59">
    <fill>
      <patternFill patternType="none"/>
    </fill>
    <fill>
      <patternFill patternType="gray125"/>
    </fill>
    <fill>
      <patternFill patternType="solid">
        <fgColor theme="0"/>
        <bgColor indexed="64"/>
      </patternFill>
    </fill>
    <fill>
      <patternFill patternType="solid">
        <fgColor theme="0" tint="-0.34998626667073579"/>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rgb="FFFFFF00"/>
        <bgColor indexed="64"/>
      </patternFill>
    </fill>
    <fill>
      <patternFill patternType="solid">
        <fgColor rgb="FF92D050"/>
        <bgColor indexed="64"/>
      </patternFill>
    </fill>
    <fill>
      <patternFill patternType="solid">
        <fgColor rgb="FF00B0F0"/>
        <bgColor indexed="64"/>
      </patternFill>
    </fill>
    <fill>
      <patternFill patternType="solid">
        <fgColor rgb="FFFFC000"/>
        <bgColor indexed="64"/>
      </patternFill>
    </fill>
    <fill>
      <patternFill patternType="solid">
        <fgColor indexed="9"/>
        <bgColor indexed="64"/>
      </patternFill>
    </fill>
    <fill>
      <patternFill patternType="solid">
        <fgColor indexed="44"/>
      </patternFill>
    </fill>
    <fill>
      <patternFill patternType="solid">
        <fgColor indexed="31"/>
      </patternFill>
    </fill>
    <fill>
      <patternFill patternType="solid">
        <fgColor indexed="29"/>
      </patternFill>
    </fill>
    <fill>
      <patternFill patternType="solid">
        <fgColor indexed="45"/>
      </patternFill>
    </fill>
    <fill>
      <patternFill patternType="solid">
        <fgColor indexed="42"/>
      </patternFill>
    </fill>
    <fill>
      <patternFill patternType="solid">
        <fgColor indexed="46"/>
      </patternFill>
    </fill>
    <fill>
      <patternFill patternType="solid">
        <fgColor indexed="22"/>
      </patternFill>
    </fill>
    <fill>
      <patternFill patternType="solid">
        <fgColor indexed="11"/>
      </patternFill>
    </fill>
    <fill>
      <patternFill patternType="solid">
        <fgColor indexed="51"/>
      </patternFill>
    </fill>
    <fill>
      <patternFill patternType="solid">
        <fgColor indexed="30"/>
      </patternFill>
    </fill>
    <fill>
      <patternFill patternType="solid">
        <fgColor indexed="53"/>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theme="0" tint="-0.249977111117893"/>
        <bgColor indexed="64"/>
      </patternFill>
    </fill>
    <fill>
      <patternFill patternType="solid">
        <fgColor theme="0" tint="-0.14999847407452621"/>
        <bgColor indexed="64"/>
      </patternFill>
    </fill>
  </fills>
  <borders count="71">
    <border>
      <left/>
      <right/>
      <top/>
      <bottom/>
      <diagonal/>
    </border>
    <border>
      <left style="thin">
        <color indexed="8"/>
      </left>
      <right/>
      <top style="thin">
        <color indexed="8"/>
      </top>
      <bottom/>
      <diagonal/>
    </border>
    <border>
      <left/>
      <right/>
      <top style="thin">
        <color indexed="8"/>
      </top>
      <bottom/>
      <diagonal/>
    </border>
    <border>
      <left style="thin">
        <color indexed="8"/>
      </left>
      <right/>
      <top style="thin">
        <color indexed="8"/>
      </top>
      <bottom style="thin">
        <color indexed="8"/>
      </bottom>
      <diagonal/>
    </border>
    <border>
      <left/>
      <right/>
      <top style="thin">
        <color indexed="8"/>
      </top>
      <bottom style="thin">
        <color indexed="8"/>
      </bottom>
      <diagonal/>
    </border>
    <border>
      <left/>
      <right/>
      <top/>
      <bottom style="thin">
        <color indexed="8"/>
      </bottom>
      <diagonal/>
    </border>
    <border>
      <left/>
      <right/>
      <top/>
      <bottom style="thin">
        <color indexed="64"/>
      </bottom>
      <diagonal/>
    </border>
    <border>
      <left style="thin">
        <color indexed="8"/>
      </left>
      <right/>
      <top/>
      <bottom/>
      <diagonal/>
    </border>
    <border>
      <left/>
      <right style="thin">
        <color indexed="64"/>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indexed="64"/>
      </left>
      <right style="thin">
        <color indexed="64"/>
      </right>
      <top style="thin">
        <color indexed="64"/>
      </top>
      <bottom style="thin">
        <color indexed="64"/>
      </bottom>
      <diagonal/>
    </border>
    <border>
      <left/>
      <right/>
      <top style="thin">
        <color indexed="64"/>
      </top>
      <bottom/>
      <diagonal/>
    </border>
    <border>
      <left/>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thin">
        <color indexed="8"/>
      </top>
      <bottom style="thin">
        <color indexed="64"/>
      </bottom>
      <diagonal/>
    </border>
    <border>
      <left style="thin">
        <color indexed="64"/>
      </left>
      <right style="thin">
        <color indexed="64"/>
      </right>
      <top/>
      <bottom style="thin">
        <color indexed="8"/>
      </bottom>
      <diagonal/>
    </border>
    <border>
      <left style="thin">
        <color indexed="64"/>
      </left>
      <right style="thin">
        <color indexed="64"/>
      </right>
      <top style="thin">
        <color indexed="8"/>
      </top>
      <bottom style="thin">
        <color indexed="64"/>
      </bottom>
      <diagonal/>
    </border>
    <border>
      <left/>
      <right style="thin">
        <color indexed="64"/>
      </right>
      <top/>
      <bottom style="thin">
        <color indexed="8"/>
      </bottom>
      <diagonal/>
    </border>
    <border>
      <left/>
      <right style="thin">
        <color indexed="64"/>
      </right>
      <top style="thin">
        <color indexed="8"/>
      </top>
      <bottom style="thin">
        <color indexed="64"/>
      </bottom>
      <diagonal/>
    </border>
    <border>
      <left style="thin">
        <color indexed="64"/>
      </left>
      <right style="thin">
        <color indexed="64"/>
      </right>
      <top style="thin">
        <color indexed="64"/>
      </top>
      <bottom style="thin">
        <color indexed="8"/>
      </bottom>
      <diagonal/>
    </border>
    <border>
      <left/>
      <right style="thin">
        <color indexed="64"/>
      </right>
      <top style="thin">
        <color indexed="64"/>
      </top>
      <bottom style="thin">
        <color indexed="8"/>
      </bottom>
      <diagonal/>
    </border>
    <border>
      <left/>
      <right/>
      <top style="thin">
        <color indexed="64"/>
      </top>
      <bottom style="thin">
        <color indexed="8"/>
      </bottom>
      <diagonal/>
    </border>
    <border>
      <left/>
      <right style="thin">
        <color indexed="8"/>
      </right>
      <top style="thin">
        <color indexed="8"/>
      </top>
      <bottom/>
      <diagonal/>
    </border>
    <border>
      <left/>
      <right style="thin">
        <color indexed="8"/>
      </right>
      <top/>
      <bottom/>
      <diagonal/>
    </border>
    <border>
      <left/>
      <right style="thin">
        <color indexed="8"/>
      </right>
      <top style="thin">
        <color indexed="64"/>
      </top>
      <bottom style="thin">
        <color indexed="64"/>
      </bottom>
      <diagonal/>
    </border>
    <border>
      <left/>
      <right/>
      <top style="dotted">
        <color indexed="64"/>
      </top>
      <bottom/>
      <diagonal/>
    </border>
    <border>
      <left/>
      <right/>
      <top/>
      <bottom style="double">
        <color indexed="64"/>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right/>
      <top style="thin">
        <color indexed="62"/>
      </top>
      <bottom style="double">
        <color indexed="62"/>
      </bottom>
      <diagonal/>
    </border>
    <border>
      <left/>
      <right style="medium">
        <color indexed="64"/>
      </right>
      <top style="medium">
        <color indexed="64"/>
      </top>
      <bottom style="medium">
        <color indexed="64"/>
      </bottom>
      <diagonal/>
    </border>
    <border>
      <left/>
      <right/>
      <top style="medium">
        <color indexed="64"/>
      </top>
      <bottom style="medium">
        <color indexed="64"/>
      </bottom>
      <diagonal/>
    </border>
    <border>
      <left style="medium">
        <color indexed="64"/>
      </left>
      <right/>
      <top style="medium">
        <color indexed="64"/>
      </top>
      <bottom style="medium">
        <color indexed="64"/>
      </bottom>
      <diagonal/>
    </border>
    <border>
      <left/>
      <right style="thin">
        <color indexed="64"/>
      </right>
      <top/>
      <bottom style="double">
        <color indexed="64"/>
      </bottom>
      <diagonal/>
    </border>
    <border>
      <left style="double">
        <color indexed="64"/>
      </left>
      <right style="thin">
        <color indexed="64"/>
      </right>
      <top/>
      <bottom/>
      <diagonal/>
    </border>
    <border>
      <left style="double">
        <color indexed="64"/>
      </left>
      <right style="thin">
        <color indexed="64"/>
      </right>
      <top/>
      <bottom style="double">
        <color indexed="64"/>
      </bottom>
      <diagonal/>
    </border>
    <border>
      <left/>
      <right style="thin">
        <color indexed="64"/>
      </right>
      <top style="double">
        <color indexed="64"/>
      </top>
      <bottom/>
      <diagonal/>
    </border>
    <border>
      <left/>
      <right/>
      <top style="double">
        <color indexed="64"/>
      </top>
      <bottom/>
      <diagonal/>
    </border>
    <border>
      <left style="double">
        <color indexed="64"/>
      </left>
      <right style="thin">
        <color indexed="64"/>
      </right>
      <top style="double">
        <color indexed="64"/>
      </top>
      <bottom/>
      <diagonal/>
    </border>
    <border>
      <left style="thick">
        <color indexed="64"/>
      </left>
      <right/>
      <top style="thin">
        <color indexed="64"/>
      </top>
      <bottom/>
      <diagonal/>
    </border>
    <border>
      <left style="thick">
        <color indexed="64"/>
      </left>
      <right/>
      <top style="thin">
        <color indexed="64"/>
      </top>
      <bottom style="thin">
        <color indexed="64"/>
      </bottom>
      <diagonal/>
    </border>
    <border>
      <left style="thick">
        <color indexed="64"/>
      </left>
      <right/>
      <top/>
      <bottom style="thin">
        <color indexed="64"/>
      </bottom>
      <diagonal/>
    </border>
    <border>
      <left style="thick">
        <color indexed="64"/>
      </left>
      <right/>
      <top/>
      <bottom/>
      <diagonal/>
    </border>
  </borders>
  <cellStyleXfs count="169">
    <xf numFmtId="164" fontId="0" fillId="0" borderId="0"/>
    <xf numFmtId="43" fontId="11" fillId="0" borderId="0" applyFont="0" applyFill="0" applyBorder="0" applyAlignment="0" applyProtection="0"/>
    <xf numFmtId="0" fontId="18" fillId="0" borderId="0" applyNumberFormat="0" applyFill="0" applyBorder="0" applyAlignment="0" applyProtection="0"/>
    <xf numFmtId="0" fontId="19" fillId="0" borderId="9" applyNumberFormat="0" applyFill="0" applyAlignment="0" applyProtection="0"/>
    <xf numFmtId="0" fontId="20" fillId="0" borderId="10" applyNumberFormat="0" applyFill="0" applyAlignment="0" applyProtection="0"/>
    <xf numFmtId="0" fontId="21" fillId="0" borderId="11" applyNumberFormat="0" applyFill="0" applyAlignment="0" applyProtection="0"/>
    <xf numFmtId="0" fontId="21" fillId="0" borderId="0" applyNumberFormat="0" applyFill="0" applyBorder="0" applyAlignment="0" applyProtection="0"/>
    <xf numFmtId="0" fontId="22" fillId="4" borderId="0" applyNumberFormat="0" applyBorder="0" applyAlignment="0" applyProtection="0"/>
    <xf numFmtId="0" fontId="23" fillId="5" borderId="0" applyNumberFormat="0" applyBorder="0" applyAlignment="0" applyProtection="0"/>
    <xf numFmtId="0" fontId="24" fillId="6" borderId="0" applyNumberFormat="0" applyBorder="0" applyAlignment="0" applyProtection="0"/>
    <xf numFmtId="0" fontId="25" fillId="7" borderId="12" applyNumberFormat="0" applyAlignment="0" applyProtection="0"/>
    <xf numFmtId="0" fontId="26" fillId="8" borderId="13" applyNumberFormat="0" applyAlignment="0" applyProtection="0"/>
    <xf numFmtId="0" fontId="27" fillId="8" borderId="12" applyNumberFormat="0" applyAlignment="0" applyProtection="0"/>
    <xf numFmtId="0" fontId="28" fillId="0" borderId="14" applyNumberFormat="0" applyFill="0" applyAlignment="0" applyProtection="0"/>
    <xf numFmtId="0" fontId="29" fillId="9" borderId="15" applyNumberFormat="0" applyAlignment="0" applyProtection="0"/>
    <xf numFmtId="0" fontId="30" fillId="0" borderId="0" applyNumberFormat="0" applyFill="0" applyBorder="0" applyAlignment="0" applyProtection="0"/>
    <xf numFmtId="0" fontId="31" fillId="0" borderId="0" applyNumberFormat="0" applyFill="0" applyBorder="0" applyAlignment="0" applyProtection="0"/>
    <xf numFmtId="0" fontId="32" fillId="0" borderId="17" applyNumberFormat="0" applyFill="0" applyAlignment="0" applyProtection="0"/>
    <xf numFmtId="0" fontId="33" fillId="11" borderId="0" applyNumberFormat="0" applyBorder="0" applyAlignment="0" applyProtection="0"/>
    <xf numFmtId="0" fontId="10" fillId="12" borderId="0" applyNumberFormat="0" applyBorder="0" applyAlignment="0" applyProtection="0"/>
    <xf numFmtId="0" fontId="10" fillId="13" borderId="0" applyNumberFormat="0" applyBorder="0" applyAlignment="0" applyProtection="0"/>
    <xf numFmtId="0" fontId="10" fillId="14" borderId="0" applyNumberFormat="0" applyBorder="0" applyAlignment="0" applyProtection="0"/>
    <xf numFmtId="0" fontId="33" fillId="15" borderId="0" applyNumberFormat="0" applyBorder="0" applyAlignment="0" applyProtection="0"/>
    <xf numFmtId="0" fontId="10" fillId="16" borderId="0" applyNumberFormat="0" applyBorder="0" applyAlignment="0" applyProtection="0"/>
    <xf numFmtId="0" fontId="10" fillId="17" borderId="0" applyNumberFormat="0" applyBorder="0" applyAlignment="0" applyProtection="0"/>
    <xf numFmtId="0" fontId="10" fillId="18" borderId="0" applyNumberFormat="0" applyBorder="0" applyAlignment="0" applyProtection="0"/>
    <xf numFmtId="0" fontId="33" fillId="19" borderId="0" applyNumberFormat="0" applyBorder="0" applyAlignment="0" applyProtection="0"/>
    <xf numFmtId="0" fontId="10" fillId="20" borderId="0" applyNumberFormat="0" applyBorder="0" applyAlignment="0" applyProtection="0"/>
    <xf numFmtId="0" fontId="10" fillId="21" borderId="0" applyNumberFormat="0" applyBorder="0" applyAlignment="0" applyProtection="0"/>
    <xf numFmtId="0" fontId="10" fillId="22" borderId="0" applyNumberFormat="0" applyBorder="0" applyAlignment="0" applyProtection="0"/>
    <xf numFmtId="0" fontId="33" fillId="23" borderId="0" applyNumberFormat="0" applyBorder="0" applyAlignment="0" applyProtection="0"/>
    <xf numFmtId="0" fontId="10" fillId="24" borderId="0" applyNumberFormat="0" applyBorder="0" applyAlignment="0" applyProtection="0"/>
    <xf numFmtId="0" fontId="10" fillId="25" borderId="0" applyNumberFormat="0" applyBorder="0" applyAlignment="0" applyProtection="0"/>
    <xf numFmtId="0" fontId="10" fillId="26" borderId="0" applyNumberFormat="0" applyBorder="0" applyAlignment="0" applyProtection="0"/>
    <xf numFmtId="0" fontId="33" fillId="27" borderId="0" applyNumberFormat="0" applyBorder="0" applyAlignment="0" applyProtection="0"/>
    <xf numFmtId="0" fontId="10" fillId="28" borderId="0" applyNumberFormat="0" applyBorder="0" applyAlignment="0" applyProtection="0"/>
    <xf numFmtId="0" fontId="10" fillId="29" borderId="0" applyNumberFormat="0" applyBorder="0" applyAlignment="0" applyProtection="0"/>
    <xf numFmtId="0" fontId="10" fillId="30" borderId="0" applyNumberFormat="0" applyBorder="0" applyAlignment="0" applyProtection="0"/>
    <xf numFmtId="0" fontId="33" fillId="31" borderId="0" applyNumberFormat="0" applyBorder="0" applyAlignment="0" applyProtection="0"/>
    <xf numFmtId="0" fontId="10" fillId="32" borderId="0" applyNumberFormat="0" applyBorder="0" applyAlignment="0" applyProtection="0"/>
    <xf numFmtId="0" fontId="10" fillId="33" borderId="0" applyNumberFormat="0" applyBorder="0" applyAlignment="0" applyProtection="0"/>
    <xf numFmtId="0" fontId="10" fillId="34" borderId="0" applyNumberFormat="0" applyBorder="0" applyAlignment="0" applyProtection="0"/>
    <xf numFmtId="164" fontId="14" fillId="0" borderId="0"/>
    <xf numFmtId="44" fontId="11" fillId="0" borderId="0" applyFont="0" applyFill="0" applyBorder="0" applyAlignment="0" applyProtection="0"/>
    <xf numFmtId="9" fontId="11" fillId="0" borderId="0" applyFont="0" applyFill="0" applyBorder="0" applyAlignment="0" applyProtection="0"/>
    <xf numFmtId="0" fontId="11" fillId="0" borderId="0"/>
    <xf numFmtId="0" fontId="10" fillId="0" borderId="0"/>
    <xf numFmtId="0" fontId="10" fillId="10" borderId="16" applyNumberFormat="0" applyFont="0" applyAlignment="0" applyProtection="0"/>
    <xf numFmtId="43" fontId="39" fillId="0" borderId="0" applyFont="0" applyFill="0" applyBorder="0" applyAlignment="0" applyProtection="0"/>
    <xf numFmtId="9" fontId="13" fillId="0" borderId="0" applyFont="0" applyFill="0" applyBorder="0" applyAlignment="0" applyProtection="0"/>
    <xf numFmtId="0" fontId="11" fillId="0" borderId="0"/>
    <xf numFmtId="0" fontId="9" fillId="12" borderId="0" applyNumberFormat="0" applyBorder="0" applyAlignment="0" applyProtection="0"/>
    <xf numFmtId="0" fontId="9" fillId="13" borderId="0" applyNumberFormat="0" applyBorder="0" applyAlignment="0" applyProtection="0"/>
    <xf numFmtId="0" fontId="9" fillId="14" borderId="0" applyNumberFormat="0" applyBorder="0" applyAlignment="0" applyProtection="0"/>
    <xf numFmtId="0" fontId="9" fillId="16" borderId="0" applyNumberFormat="0" applyBorder="0" applyAlignment="0" applyProtection="0"/>
    <xf numFmtId="0" fontId="9" fillId="17" borderId="0" applyNumberFormat="0" applyBorder="0" applyAlignment="0" applyProtection="0"/>
    <xf numFmtId="0" fontId="9" fillId="18" borderId="0" applyNumberFormat="0" applyBorder="0" applyAlignment="0" applyProtection="0"/>
    <xf numFmtId="0" fontId="9" fillId="20" borderId="0" applyNumberFormat="0" applyBorder="0" applyAlignment="0" applyProtection="0"/>
    <xf numFmtId="0" fontId="9" fillId="21" borderId="0" applyNumberFormat="0" applyBorder="0" applyAlignment="0" applyProtection="0"/>
    <xf numFmtId="0" fontId="9" fillId="22" borderId="0" applyNumberFormat="0" applyBorder="0" applyAlignment="0" applyProtection="0"/>
    <xf numFmtId="0" fontId="9" fillId="24" borderId="0" applyNumberFormat="0" applyBorder="0" applyAlignment="0" applyProtection="0"/>
    <xf numFmtId="0" fontId="9" fillId="25" borderId="0" applyNumberFormat="0" applyBorder="0" applyAlignment="0" applyProtection="0"/>
    <xf numFmtId="0" fontId="9" fillId="26" borderId="0" applyNumberFormat="0" applyBorder="0" applyAlignment="0" applyProtection="0"/>
    <xf numFmtId="0" fontId="9" fillId="28" borderId="0" applyNumberFormat="0" applyBorder="0" applyAlignment="0" applyProtection="0"/>
    <xf numFmtId="0" fontId="9" fillId="29" borderId="0" applyNumberFormat="0" applyBorder="0" applyAlignment="0" applyProtection="0"/>
    <xf numFmtId="0" fontId="9" fillId="30" borderId="0" applyNumberFormat="0" applyBorder="0" applyAlignment="0" applyProtection="0"/>
    <xf numFmtId="0" fontId="9" fillId="32" borderId="0" applyNumberFormat="0" applyBorder="0" applyAlignment="0" applyProtection="0"/>
    <xf numFmtId="0" fontId="9" fillId="33" borderId="0" applyNumberFormat="0" applyBorder="0" applyAlignment="0" applyProtection="0"/>
    <xf numFmtId="0" fontId="9" fillId="34" borderId="0" applyNumberFormat="0" applyBorder="0" applyAlignment="0" applyProtection="0"/>
    <xf numFmtId="0" fontId="9" fillId="0" borderId="0"/>
    <xf numFmtId="0" fontId="9" fillId="10" borderId="16" applyNumberFormat="0" applyFont="0" applyAlignment="0" applyProtection="0"/>
    <xf numFmtId="0" fontId="11" fillId="0" borderId="0"/>
    <xf numFmtId="43" fontId="8" fillId="0" borderId="0" applyFont="0" applyFill="0" applyBorder="0" applyAlignment="0" applyProtection="0"/>
    <xf numFmtId="0" fontId="11" fillId="0" borderId="0"/>
    <xf numFmtId="0" fontId="8" fillId="0" borderId="0"/>
    <xf numFmtId="0" fontId="7" fillId="0" borderId="0"/>
    <xf numFmtId="0" fontId="6" fillId="0" borderId="0"/>
    <xf numFmtId="43" fontId="6" fillId="0" borderId="0" applyFont="0" applyFill="0" applyBorder="0" applyAlignment="0" applyProtection="0"/>
    <xf numFmtId="0" fontId="11" fillId="0" borderId="0"/>
    <xf numFmtId="0" fontId="77" fillId="0" borderId="0">
      <protection locked="0"/>
    </xf>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76" fillId="0" borderId="0" applyFont="0" applyFill="0" applyBorder="0" applyAlignment="0" applyProtection="0"/>
    <xf numFmtId="43" fontId="11" fillId="0" borderId="0" applyFont="0" applyFill="0" applyBorder="0" applyAlignment="0" applyProtection="0"/>
    <xf numFmtId="164" fontId="75" fillId="0" borderId="0"/>
    <xf numFmtId="0" fontId="76" fillId="0" borderId="0"/>
    <xf numFmtId="0" fontId="5" fillId="0" borderId="0"/>
    <xf numFmtId="0" fontId="11" fillId="0" borderId="0"/>
    <xf numFmtId="164" fontId="75" fillId="0" borderId="0"/>
    <xf numFmtId="9" fontId="11" fillId="0" borderId="0" applyFont="0" applyFill="0" applyBorder="0" applyAlignment="0" applyProtection="0"/>
    <xf numFmtId="9" fontId="11" fillId="0" borderId="0" applyFont="0" applyFill="0" applyBorder="0" applyAlignment="0" applyProtection="0"/>
    <xf numFmtId="43" fontId="11" fillId="0" borderId="0" applyFont="0" applyFill="0" applyBorder="0" applyAlignment="0" applyProtection="0"/>
    <xf numFmtId="0" fontId="5" fillId="0" borderId="0"/>
    <xf numFmtId="9" fontId="11" fillId="0" borderId="0" applyFont="0" applyFill="0" applyBorder="0" applyAlignment="0" applyProtection="0"/>
    <xf numFmtId="164" fontId="75" fillId="0" borderId="0"/>
    <xf numFmtId="0" fontId="77" fillId="0" borderId="0">
      <protection locked="0"/>
    </xf>
    <xf numFmtId="0" fontId="77" fillId="0" borderId="0">
      <protection locked="0"/>
    </xf>
    <xf numFmtId="0" fontId="77" fillId="0" borderId="0">
      <alignment vertical="top" wrapText="1"/>
      <protection locked="0"/>
    </xf>
    <xf numFmtId="0" fontId="77" fillId="0" borderId="0">
      <protection locked="0"/>
    </xf>
    <xf numFmtId="0" fontId="77" fillId="0" borderId="0">
      <protection locked="0"/>
    </xf>
    <xf numFmtId="164" fontId="13" fillId="0" borderId="0"/>
    <xf numFmtId="0" fontId="77" fillId="0" borderId="0">
      <protection locked="0"/>
    </xf>
    <xf numFmtId="0" fontId="11" fillId="0" borderId="0"/>
    <xf numFmtId="0" fontId="77" fillId="0" borderId="0">
      <protection locked="0"/>
    </xf>
    <xf numFmtId="0" fontId="77" fillId="0" borderId="0">
      <protection locked="0"/>
    </xf>
    <xf numFmtId="43" fontId="5" fillId="0" borderId="0" applyFont="0" applyFill="0" applyBorder="0" applyAlignment="0" applyProtection="0"/>
    <xf numFmtId="43" fontId="11" fillId="0" borderId="0" applyFont="0" applyFill="0" applyBorder="0" applyAlignment="0" applyProtection="0"/>
    <xf numFmtId="0" fontId="5" fillId="0" borderId="0"/>
    <xf numFmtId="0" fontId="77" fillId="0" borderId="0">
      <protection locked="0"/>
    </xf>
    <xf numFmtId="9" fontId="5" fillId="0" borderId="0" applyFont="0" applyFill="0" applyBorder="0" applyAlignment="0" applyProtection="0"/>
    <xf numFmtId="164" fontId="75" fillId="0" borderId="0"/>
    <xf numFmtId="0" fontId="11" fillId="0" borderId="0"/>
    <xf numFmtId="0" fontId="11" fillId="0" borderId="0"/>
    <xf numFmtId="43" fontId="5" fillId="0" borderId="0" applyFont="0" applyFill="0" applyBorder="0" applyAlignment="0" applyProtection="0"/>
    <xf numFmtId="164" fontId="75" fillId="0" borderId="0"/>
    <xf numFmtId="0" fontId="5" fillId="0" borderId="0"/>
    <xf numFmtId="9" fontId="5" fillId="0" borderId="0" applyFont="0" applyFill="0" applyBorder="0" applyAlignment="0" applyProtection="0"/>
    <xf numFmtId="0" fontId="82" fillId="0" borderId="0"/>
    <xf numFmtId="43" fontId="11" fillId="0" borderId="0" applyFont="0" applyFill="0" applyBorder="0" applyAlignment="0" applyProtection="0"/>
    <xf numFmtId="0" fontId="4" fillId="0" borderId="0"/>
    <xf numFmtId="9" fontId="76" fillId="0" borderId="0" applyFont="0" applyFill="0" applyBorder="0" applyAlignment="0" applyProtection="0"/>
    <xf numFmtId="9" fontId="11"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0" fontId="93" fillId="0" borderId="0" applyBorder="0"/>
    <xf numFmtId="0" fontId="3" fillId="17" borderId="0" applyNumberFormat="0" applyBorder="0" applyAlignment="0" applyProtection="0"/>
    <xf numFmtId="0" fontId="3" fillId="28" borderId="0" applyNumberFormat="0" applyBorder="0" applyAlignment="0" applyProtection="0"/>
    <xf numFmtId="0" fontId="11" fillId="0" borderId="0"/>
    <xf numFmtId="0" fontId="3" fillId="41" borderId="0" applyNumberFormat="0" applyBorder="0" applyAlignment="0" applyProtection="0"/>
    <xf numFmtId="0" fontId="3" fillId="43"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6" borderId="0" applyNumberFormat="0" applyBorder="0" applyAlignment="0" applyProtection="0"/>
    <xf numFmtId="0" fontId="3" fillId="40" borderId="0" applyNumberFormat="0" applyBorder="0" applyAlignment="0" applyProtection="0"/>
    <xf numFmtId="0" fontId="3" fillId="47" borderId="0" applyNumberFormat="0" applyBorder="0" applyAlignment="0" applyProtection="0"/>
    <xf numFmtId="0" fontId="3" fillId="45" borderId="0" applyNumberFormat="0" applyBorder="0" applyAlignment="0" applyProtection="0"/>
    <xf numFmtId="0" fontId="3" fillId="40" borderId="0" applyNumberFormat="0" applyBorder="0" applyAlignment="0" applyProtection="0"/>
    <xf numFmtId="0" fontId="3" fillId="48" borderId="0" applyNumberFormat="0" applyBorder="0" applyAlignment="0" applyProtection="0"/>
    <xf numFmtId="0" fontId="33" fillId="49" borderId="0" applyNumberFormat="0" applyBorder="0" applyAlignment="0" applyProtection="0"/>
    <xf numFmtId="0" fontId="33" fillId="42" borderId="0" applyNumberFormat="0" applyBorder="0" applyAlignment="0" applyProtection="0"/>
    <xf numFmtId="0" fontId="33" fillId="47" borderId="0" applyNumberFormat="0" applyBorder="0" applyAlignment="0" applyProtection="0"/>
    <xf numFmtId="0" fontId="33" fillId="51" borderId="0" applyNumberFormat="0" applyBorder="0" applyAlignment="0" applyProtection="0"/>
    <xf numFmtId="0" fontId="33" fillId="52" borderId="0" applyNumberFormat="0" applyBorder="0" applyAlignment="0" applyProtection="0"/>
    <xf numFmtId="0" fontId="33" fillId="53" borderId="0" applyNumberFormat="0" applyBorder="0" applyAlignment="0" applyProtection="0"/>
    <xf numFmtId="0" fontId="33" fillId="54" borderId="0" applyNumberFormat="0" applyBorder="0" applyAlignment="0" applyProtection="0"/>
    <xf numFmtId="0" fontId="33" fillId="55" borderId="0" applyNumberFormat="0" applyBorder="0" applyAlignment="0" applyProtection="0"/>
    <xf numFmtId="0" fontId="33" fillId="56" borderId="0" applyNumberFormat="0" applyBorder="0" applyAlignment="0" applyProtection="0"/>
    <xf numFmtId="0" fontId="33" fillId="51" borderId="0" applyNumberFormat="0" applyBorder="0" applyAlignment="0" applyProtection="0"/>
    <xf numFmtId="0" fontId="33" fillId="50" borderId="0" applyNumberFormat="0" applyBorder="0" applyAlignment="0" applyProtection="0"/>
    <xf numFmtId="0" fontId="23" fillId="43" borderId="0" applyNumberFormat="0" applyBorder="0" applyAlignment="0" applyProtection="0"/>
    <xf numFmtId="0" fontId="100" fillId="46" borderId="12" applyNumberFormat="0" applyAlignment="0" applyProtection="0"/>
    <xf numFmtId="0" fontId="22" fillId="44" borderId="0" applyNumberFormat="0" applyBorder="0" applyAlignment="0" applyProtection="0"/>
    <xf numFmtId="0" fontId="95" fillId="0" borderId="53" applyNumberFormat="0" applyFill="0" applyAlignment="0" applyProtection="0"/>
    <xf numFmtId="0" fontId="96" fillId="0" borderId="54" applyNumberFormat="0" applyFill="0" applyAlignment="0" applyProtection="0"/>
    <xf numFmtId="0" fontId="97" fillId="0" borderId="55" applyNumberFormat="0" applyFill="0" applyAlignment="0" applyProtection="0"/>
    <xf numFmtId="0" fontId="97" fillId="0" borderId="0" applyNumberFormat="0" applyFill="0" applyBorder="0" applyAlignment="0" applyProtection="0"/>
    <xf numFmtId="0" fontId="25" fillId="46" borderId="12" applyNumberFormat="0" applyAlignment="0" applyProtection="0"/>
    <xf numFmtId="0" fontId="98" fillId="0" borderId="56" applyNumberFormat="0" applyFill="0" applyAlignment="0" applyProtection="0"/>
    <xf numFmtId="0" fontId="101" fillId="6" borderId="0" applyNumberFormat="0" applyBorder="0" applyAlignment="0" applyProtection="0"/>
    <xf numFmtId="0" fontId="3" fillId="0" borderId="0"/>
    <xf numFmtId="0" fontId="94" fillId="10" borderId="16" applyNumberFormat="0" applyFont="0" applyAlignment="0" applyProtection="0"/>
    <xf numFmtId="0" fontId="26" fillId="46" borderId="13" applyNumberFormat="0" applyAlignment="0" applyProtection="0"/>
    <xf numFmtId="0" fontId="99" fillId="0" borderId="0" applyNumberFormat="0" applyFill="0" applyBorder="0" applyAlignment="0" applyProtection="0"/>
    <xf numFmtId="0" fontId="32" fillId="0" borderId="57" applyNumberFormat="0" applyFill="0" applyAlignment="0" applyProtection="0"/>
    <xf numFmtId="9" fontId="14" fillId="0" borderId="0" applyFont="0" applyFill="0" applyBorder="0" applyAlignment="0" applyProtection="0"/>
    <xf numFmtId="0" fontId="2" fillId="0" borderId="0"/>
    <xf numFmtId="0" fontId="11" fillId="0" borderId="0"/>
    <xf numFmtId="43" fontId="2" fillId="0" borderId="0" applyFont="0" applyFill="0" applyBorder="0" applyAlignment="0" applyProtection="0"/>
  </cellStyleXfs>
  <cellXfs count="781">
    <xf numFmtId="164" fontId="0" fillId="0" borderId="0" xfId="0"/>
    <xf numFmtId="164" fontId="12" fillId="0" borderId="0" xfId="0" applyFont="1"/>
    <xf numFmtId="0" fontId="11" fillId="0" borderId="0" xfId="45"/>
    <xf numFmtId="172" fontId="0" fillId="0" borderId="0" xfId="0" applyNumberFormat="1"/>
    <xf numFmtId="0" fontId="10" fillId="0" borderId="0" xfId="46"/>
    <xf numFmtId="172" fontId="10" fillId="0" borderId="0" xfId="46" applyNumberFormat="1"/>
    <xf numFmtId="166" fontId="11" fillId="2" borderId="0" xfId="1" applyNumberFormat="1" applyFont="1" applyFill="1" applyAlignment="1">
      <alignment horizontal="left"/>
    </xf>
    <xf numFmtId="166" fontId="11" fillId="2" borderId="0" xfId="1" applyNumberFormat="1" applyFont="1" applyFill="1" applyAlignment="1">
      <alignment horizontal="right"/>
    </xf>
    <xf numFmtId="174" fontId="11" fillId="2" borderId="0" xfId="43" applyNumberFormat="1" applyFont="1" applyFill="1"/>
    <xf numFmtId="174" fontId="44" fillId="2" borderId="0" xfId="43" applyNumberFormat="1" applyFont="1" applyFill="1"/>
    <xf numFmtId="174" fontId="44" fillId="0" borderId="0" xfId="43" applyNumberFormat="1" applyFont="1" applyFill="1"/>
    <xf numFmtId="168" fontId="0" fillId="0" borderId="0" xfId="1" applyNumberFormat="1" applyFont="1"/>
    <xf numFmtId="164" fontId="0" fillId="35" borderId="0" xfId="0" applyFill="1"/>
    <xf numFmtId="164" fontId="11" fillId="2" borderId="0" xfId="0" quotePrefix="1" applyFont="1" applyFill="1" applyAlignment="1" applyProtection="1">
      <alignment horizontal="left"/>
      <protection locked="0"/>
    </xf>
    <xf numFmtId="164" fontId="11" fillId="2" borderId="0" xfId="0" applyFont="1" applyFill="1"/>
    <xf numFmtId="164" fontId="35" fillId="2" borderId="0" xfId="0" applyFont="1" applyFill="1" applyAlignment="1">
      <alignment horizontal="right"/>
    </xf>
    <xf numFmtId="164" fontId="40" fillId="2" borderId="0" xfId="0" quotePrefix="1" applyFont="1" applyFill="1" applyAlignment="1">
      <alignment horizontal="centerContinuous"/>
    </xf>
    <xf numFmtId="164" fontId="11" fillId="2" borderId="0" xfId="0" applyFont="1" applyFill="1" applyAlignment="1">
      <alignment horizontal="centerContinuous"/>
    </xf>
    <xf numFmtId="164" fontId="0" fillId="2" borderId="0" xfId="0" applyFill="1" applyAlignment="1">
      <alignment horizontal="centerContinuous"/>
    </xf>
    <xf numFmtId="164" fontId="11" fillId="2" borderId="0" xfId="0" quotePrefix="1" applyFont="1" applyFill="1" applyAlignment="1">
      <alignment horizontal="center"/>
    </xf>
    <xf numFmtId="164" fontId="11" fillId="2" borderId="0" xfId="0" quotePrefix="1" applyFont="1" applyFill="1" applyAlignment="1">
      <alignment horizontal="centerContinuous"/>
    </xf>
    <xf numFmtId="164" fontId="11" fillId="2" borderId="0" xfId="0" applyFont="1" applyFill="1" applyAlignment="1">
      <alignment horizontal="center"/>
    </xf>
    <xf numFmtId="164" fontId="11" fillId="2" borderId="0" xfId="0" quotePrefix="1" applyFont="1" applyFill="1"/>
    <xf numFmtId="164" fontId="11" fillId="2" borderId="0" xfId="0" applyFont="1" applyFill="1" applyAlignment="1">
      <alignment horizontal="left"/>
    </xf>
    <xf numFmtId="166" fontId="34" fillId="35" borderId="0" xfId="0" applyNumberFormat="1" applyFont="1" applyFill="1" applyAlignment="1">
      <alignment horizontal="center"/>
    </xf>
    <xf numFmtId="166" fontId="11" fillId="2" borderId="0" xfId="0" applyNumberFormat="1" applyFont="1" applyFill="1" applyAlignment="1">
      <alignment horizontal="center"/>
    </xf>
    <xf numFmtId="175" fontId="11" fillId="2" borderId="0" xfId="0" applyNumberFormat="1" applyFont="1" applyFill="1" applyAlignment="1">
      <alignment horizontal="center"/>
    </xf>
    <xf numFmtId="173" fontId="46" fillId="2" borderId="0" xfId="0" applyNumberFormat="1" applyFont="1" applyFill="1"/>
    <xf numFmtId="9" fontId="11" fillId="2" borderId="0" xfId="0" applyNumberFormat="1" applyFont="1" applyFill="1"/>
    <xf numFmtId="164" fontId="11" fillId="2" borderId="0" xfId="0" applyFont="1" applyFill="1" applyAlignment="1">
      <alignment horizontal="right"/>
    </xf>
    <xf numFmtId="37" fontId="11" fillId="2" borderId="0" xfId="0" applyNumberFormat="1" applyFont="1" applyFill="1"/>
    <xf numFmtId="37" fontId="11" fillId="2" borderId="0" xfId="0" applyNumberFormat="1" applyFont="1" applyFill="1" applyAlignment="1">
      <alignment horizontal="center"/>
    </xf>
    <xf numFmtId="170" fontId="11" fillId="2" borderId="0" xfId="0" applyNumberFormat="1" applyFont="1" applyFill="1" applyAlignment="1">
      <alignment horizontal="centerContinuous"/>
    </xf>
    <xf numFmtId="170" fontId="11" fillId="2" borderId="0" xfId="0" quotePrefix="1" applyNumberFormat="1" applyFont="1" applyFill="1" applyAlignment="1">
      <alignment horizontal="center"/>
    </xf>
    <xf numFmtId="170" fontId="11" fillId="2" borderId="0" xfId="0" applyNumberFormat="1" applyFont="1" applyFill="1"/>
    <xf numFmtId="170" fontId="34" fillId="35" borderId="0" xfId="0" applyNumberFormat="1" applyFont="1" applyFill="1"/>
    <xf numFmtId="170" fontId="11" fillId="2" borderId="0" xfId="0" applyNumberFormat="1" applyFont="1" applyFill="1" applyAlignment="1">
      <alignment horizontal="center"/>
    </xf>
    <xf numFmtId="164" fontId="44" fillId="2" borderId="0" xfId="0" quotePrefix="1" applyFont="1" applyFill="1" applyAlignment="1">
      <alignment horizontal="left"/>
    </xf>
    <xf numFmtId="166" fontId="11" fillId="2" borderId="0" xfId="0" applyNumberFormat="1" applyFont="1" applyFill="1" applyAlignment="1">
      <alignment horizontal="left"/>
    </xf>
    <xf numFmtId="166" fontId="11" fillId="2" borderId="0" xfId="0" applyNumberFormat="1" applyFont="1" applyFill="1"/>
    <xf numFmtId="164" fontId="11" fillId="2" borderId="0" xfId="0" quotePrefix="1" applyFont="1" applyFill="1" applyAlignment="1">
      <alignment horizontal="left"/>
    </xf>
    <xf numFmtId="37" fontId="34" fillId="35" borderId="0" xfId="0" applyNumberFormat="1" applyFont="1" applyFill="1" applyAlignment="1">
      <alignment horizontal="center"/>
    </xf>
    <xf numFmtId="164" fontId="11" fillId="35" borderId="0" xfId="0" applyFont="1" applyFill="1" applyAlignment="1">
      <alignment horizontal="center"/>
    </xf>
    <xf numFmtId="164" fontId="47" fillId="0" borderId="0" xfId="0" applyFont="1"/>
    <xf numFmtId="164" fontId="48" fillId="0" borderId="0" xfId="0" applyFont="1"/>
    <xf numFmtId="0" fontId="48" fillId="0" borderId="26" xfId="0" applyNumberFormat="1" applyFont="1" applyBorder="1" applyAlignment="1">
      <alignment horizontal="centerContinuous"/>
    </xf>
    <xf numFmtId="0" fontId="48" fillId="0" borderId="20" xfId="0" applyNumberFormat="1" applyFont="1" applyBorder="1" applyAlignment="1">
      <alignment horizontal="centerContinuous"/>
    </xf>
    <xf numFmtId="0" fontId="48" fillId="0" borderId="27" xfId="0" applyNumberFormat="1" applyFont="1" applyBorder="1" applyAlignment="1">
      <alignment horizontal="centerContinuous"/>
    </xf>
    <xf numFmtId="164" fontId="48" fillId="0" borderId="22" xfId="0" applyFont="1" applyBorder="1"/>
    <xf numFmtId="164" fontId="49" fillId="0" borderId="0" xfId="0" applyFont="1"/>
    <xf numFmtId="168" fontId="48" fillId="0" borderId="0" xfId="1" applyNumberFormat="1" applyFont="1"/>
    <xf numFmtId="164" fontId="49" fillId="0" borderId="21" xfId="0" applyFont="1" applyBorder="1"/>
    <xf numFmtId="164" fontId="49" fillId="0" borderId="22" xfId="0" applyFont="1" applyBorder="1"/>
    <xf numFmtId="164" fontId="49" fillId="0" borderId="19" xfId="0" applyFont="1" applyBorder="1"/>
    <xf numFmtId="164" fontId="49" fillId="0" borderId="23" xfId="0" applyFont="1" applyBorder="1"/>
    <xf numFmtId="164" fontId="49" fillId="0" borderId="24" xfId="0" applyFont="1" applyBorder="1"/>
    <xf numFmtId="164" fontId="49" fillId="0" borderId="6" xfId="0" applyFont="1" applyBorder="1"/>
    <xf numFmtId="164" fontId="49" fillId="0" borderId="8" xfId="0" applyFont="1" applyBorder="1"/>
    <xf numFmtId="164" fontId="48" fillId="0" borderId="28" xfId="0" applyFont="1" applyBorder="1"/>
    <xf numFmtId="164" fontId="48" fillId="0" borderId="30" xfId="0" applyFont="1" applyBorder="1"/>
    <xf numFmtId="164" fontId="49" fillId="0" borderId="29" xfId="0" applyFont="1" applyBorder="1"/>
    <xf numFmtId="164" fontId="49" fillId="0" borderId="28" xfId="0" applyFont="1" applyBorder="1"/>
    <xf numFmtId="0" fontId="49" fillId="0" borderId="26" xfId="0" applyNumberFormat="1" applyFont="1" applyBorder="1" applyAlignment="1">
      <alignment horizontal="centerContinuous"/>
    </xf>
    <xf numFmtId="0" fontId="49" fillId="0" borderId="20" xfId="0" applyNumberFormat="1" applyFont="1" applyBorder="1" applyAlignment="1">
      <alignment horizontal="centerContinuous"/>
    </xf>
    <xf numFmtId="0" fontId="49" fillId="0" borderId="27" xfId="0" applyNumberFormat="1" applyFont="1" applyBorder="1" applyAlignment="1">
      <alignment horizontal="centerContinuous"/>
    </xf>
    <xf numFmtId="164" fontId="49" fillId="0" borderId="30" xfId="0" applyFont="1" applyBorder="1"/>
    <xf numFmtId="164" fontId="0" fillId="36" borderId="0" xfId="0" applyFill="1"/>
    <xf numFmtId="0" fontId="13" fillId="0" borderId="0" xfId="45" quotePrefix="1" applyFont="1" applyAlignment="1" applyProtection="1">
      <alignment horizontal="left"/>
      <protection locked="0"/>
    </xf>
    <xf numFmtId="0" fontId="14" fillId="0" borderId="0" xfId="45" applyFont="1"/>
    <xf numFmtId="0" fontId="14" fillId="0" borderId="0" xfId="45" quotePrefix="1" applyFont="1"/>
    <xf numFmtId="0" fontId="15" fillId="0" borderId="0" xfId="45" applyFont="1" applyAlignment="1">
      <alignment horizontal="centerContinuous"/>
    </xf>
    <xf numFmtId="0" fontId="11" fillId="0" borderId="0" xfId="45" quotePrefix="1" applyAlignment="1">
      <alignment horizontal="right"/>
    </xf>
    <xf numFmtId="14" fontId="11" fillId="0" borderId="0" xfId="45" quotePrefix="1" applyNumberFormat="1" applyAlignment="1">
      <alignment horizontal="right"/>
    </xf>
    <xf numFmtId="0" fontId="37" fillId="0" borderId="0" xfId="45" applyFont="1" applyAlignment="1">
      <alignment horizontal="centerContinuous"/>
    </xf>
    <xf numFmtId="0" fontId="15" fillId="0" borderId="0" xfId="45" applyFont="1" applyAlignment="1">
      <alignment horizontal="right"/>
    </xf>
    <xf numFmtId="0" fontId="38" fillId="0" borderId="0" xfId="45" applyFont="1" applyAlignment="1">
      <alignment horizontal="centerContinuous"/>
    </xf>
    <xf numFmtId="0" fontId="39" fillId="0" borderId="0" xfId="45" applyFont="1" applyAlignment="1">
      <alignment horizontal="centerContinuous"/>
    </xf>
    <xf numFmtId="0" fontId="39" fillId="0" borderId="0" xfId="45" quotePrefix="1" applyFont="1" applyAlignment="1">
      <alignment horizontal="centerContinuous"/>
    </xf>
    <xf numFmtId="0" fontId="39" fillId="0" borderId="0" xfId="45" applyFont="1"/>
    <xf numFmtId="0" fontId="39" fillId="0" borderId="0" xfId="45" quotePrefix="1" applyFont="1" applyAlignment="1">
      <alignment horizontal="left"/>
    </xf>
    <xf numFmtId="0" fontId="39" fillId="0" borderId="0" xfId="45" applyFont="1" applyAlignment="1">
      <alignment horizontal="center"/>
    </xf>
    <xf numFmtId="39" fontId="39" fillId="0" borderId="0" xfId="45" applyNumberFormat="1" applyFont="1"/>
    <xf numFmtId="37" fontId="39" fillId="0" borderId="0" xfId="45" applyNumberFormat="1" applyFont="1"/>
    <xf numFmtId="0" fontId="36" fillId="0" borderId="0" xfId="45" quotePrefix="1" applyFont="1" applyAlignment="1">
      <alignment horizontal="right"/>
    </xf>
    <xf numFmtId="0" fontId="11" fillId="0" borderId="0" xfId="45" quotePrefix="1"/>
    <xf numFmtId="164" fontId="0" fillId="37" borderId="0" xfId="0" applyFill="1"/>
    <xf numFmtId="164" fontId="51" fillId="0" borderId="8" xfId="0" applyFont="1" applyBorder="1"/>
    <xf numFmtId="164" fontId="50" fillId="0" borderId="27" xfId="0" applyFont="1" applyBorder="1"/>
    <xf numFmtId="164" fontId="48" fillId="0" borderId="29" xfId="0" applyFont="1" applyBorder="1" applyAlignment="1">
      <alignment horizontal="center"/>
    </xf>
    <xf numFmtId="164" fontId="48" fillId="0" borderId="18" xfId="0" applyFont="1" applyBorder="1" applyAlignment="1">
      <alignment horizontal="center"/>
    </xf>
    <xf numFmtId="164" fontId="0" fillId="0" borderId="0" xfId="0" pivotButton="1"/>
    <xf numFmtId="164" fontId="0" fillId="0" borderId="0" xfId="0" applyAlignment="1">
      <alignment horizontal="left"/>
    </xf>
    <xf numFmtId="168" fontId="0" fillId="0" borderId="0" xfId="0" applyNumberFormat="1"/>
    <xf numFmtId="164" fontId="52" fillId="0" borderId="0" xfId="0" applyFont="1"/>
    <xf numFmtId="164" fontId="53" fillId="0" borderId="0" xfId="0" applyFont="1"/>
    <xf numFmtId="164" fontId="49" fillId="0" borderId="19" xfId="0" applyFont="1" applyBorder="1" applyAlignment="1">
      <alignment horizontal="centerContinuous"/>
    </xf>
    <xf numFmtId="164" fontId="48" fillId="0" borderId="22" xfId="0" applyFont="1" applyBorder="1" applyAlignment="1">
      <alignment horizontal="centerContinuous"/>
    </xf>
    <xf numFmtId="164" fontId="53" fillId="0" borderId="8" xfId="0" applyFont="1" applyBorder="1"/>
    <xf numFmtId="164" fontId="53" fillId="0" borderId="24" xfId="0" applyFont="1" applyBorder="1"/>
    <xf numFmtId="164" fontId="53" fillId="0" borderId="22" xfId="0" applyFont="1" applyBorder="1"/>
    <xf numFmtId="164" fontId="53" fillId="0" borderId="28" xfId="0" applyFont="1" applyBorder="1" applyAlignment="1">
      <alignment horizontal="center"/>
    </xf>
    <xf numFmtId="164" fontId="53" fillId="0" borderId="22" xfId="0" applyFont="1" applyBorder="1" applyAlignment="1">
      <alignment horizontal="center"/>
    </xf>
    <xf numFmtId="164" fontId="53" fillId="0" borderId="29" xfId="0" quotePrefix="1" applyFont="1" applyBorder="1" applyAlignment="1">
      <alignment horizontal="center"/>
    </xf>
    <xf numFmtId="164" fontId="53" fillId="0" borderId="24" xfId="0" applyFont="1" applyBorder="1" applyAlignment="1">
      <alignment horizontal="center"/>
    </xf>
    <xf numFmtId="164" fontId="53" fillId="0" borderId="30" xfId="0" applyFont="1" applyBorder="1" applyAlignment="1">
      <alignment horizontal="center"/>
    </xf>
    <xf numFmtId="164" fontId="53" fillId="0" borderId="8" xfId="0" applyFont="1" applyBorder="1" applyAlignment="1">
      <alignment horizontal="center"/>
    </xf>
    <xf numFmtId="164" fontId="53" fillId="0" borderId="30" xfId="0" quotePrefix="1" applyFont="1" applyBorder="1" applyAlignment="1">
      <alignment horizontal="center"/>
    </xf>
    <xf numFmtId="164" fontId="53" fillId="0" borderId="0" xfId="0" applyFont="1" applyAlignment="1">
      <alignment horizontal="center"/>
    </xf>
    <xf numFmtId="164" fontId="48" fillId="0" borderId="24" xfId="0" applyFont="1" applyBorder="1"/>
    <xf numFmtId="164" fontId="48" fillId="0" borderId="29" xfId="0" applyFont="1" applyBorder="1"/>
    <xf numFmtId="164" fontId="54" fillId="0" borderId="0" xfId="0" applyFont="1" applyAlignment="1">
      <alignment horizontal="centerContinuous"/>
    </xf>
    <xf numFmtId="164" fontId="55" fillId="0" borderId="0" xfId="0" applyFont="1" applyAlignment="1">
      <alignment horizontal="centerContinuous"/>
    </xf>
    <xf numFmtId="164" fontId="56" fillId="0" borderId="0" xfId="0" applyFont="1" applyAlignment="1">
      <alignment horizontal="centerContinuous"/>
    </xf>
    <xf numFmtId="164" fontId="57" fillId="0" borderId="0" xfId="0" applyFont="1" applyAlignment="1">
      <alignment horizontal="centerContinuous"/>
    </xf>
    <xf numFmtId="164" fontId="58" fillId="0" borderId="0" xfId="0" applyFont="1"/>
    <xf numFmtId="164" fontId="56" fillId="0" borderId="28" xfId="0" applyFont="1" applyBorder="1"/>
    <xf numFmtId="164" fontId="56" fillId="0" borderId="19" xfId="0" applyFont="1" applyBorder="1" applyAlignment="1">
      <alignment horizontal="centerContinuous"/>
    </xf>
    <xf numFmtId="164" fontId="56" fillId="0" borderId="22" xfId="0" applyFont="1" applyBorder="1" applyAlignment="1">
      <alignment horizontal="centerContinuous"/>
    </xf>
    <xf numFmtId="164" fontId="53" fillId="0" borderId="22" xfId="0" applyFont="1" applyBorder="1" applyAlignment="1">
      <alignment horizontal="centerContinuous"/>
    </xf>
    <xf numFmtId="164" fontId="59" fillId="0" borderId="18" xfId="0" applyFont="1" applyBorder="1"/>
    <xf numFmtId="164" fontId="56" fillId="0" borderId="29" xfId="0" applyFont="1" applyBorder="1"/>
    <xf numFmtId="164" fontId="56" fillId="0" borderId="24" xfId="0" applyFont="1" applyBorder="1"/>
    <xf numFmtId="164" fontId="56" fillId="0" borderId="6" xfId="0" applyFont="1" applyBorder="1"/>
    <xf numFmtId="168" fontId="30" fillId="0" borderId="0" xfId="1" applyNumberFormat="1" applyFont="1" applyBorder="1"/>
    <xf numFmtId="164" fontId="48" fillId="0" borderId="23" xfId="0" applyFont="1" applyBorder="1"/>
    <xf numFmtId="164" fontId="49" fillId="0" borderId="26" xfId="0" applyFont="1" applyBorder="1" applyAlignment="1">
      <alignment horizontal="centerContinuous"/>
    </xf>
    <xf numFmtId="164" fontId="48" fillId="0" borderId="20" xfId="0" applyFont="1" applyBorder="1" applyAlignment="1">
      <alignment horizontal="centerContinuous"/>
    </xf>
    <xf numFmtId="164" fontId="48" fillId="0" borderId="27" xfId="0" applyFont="1" applyBorder="1" applyAlignment="1">
      <alignment horizontal="centerContinuous"/>
    </xf>
    <xf numFmtId="164" fontId="48" fillId="0" borderId="26" xfId="0" applyFont="1" applyBorder="1" applyAlignment="1">
      <alignment horizontal="center"/>
    </xf>
    <xf numFmtId="164" fontId="48" fillId="0" borderId="27" xfId="0" applyFont="1" applyBorder="1" applyAlignment="1">
      <alignment horizontal="center"/>
    </xf>
    <xf numFmtId="164" fontId="48" fillId="0" borderId="25" xfId="0" applyFont="1" applyBorder="1" applyAlignment="1">
      <alignment horizontal="center"/>
    </xf>
    <xf numFmtId="164" fontId="48" fillId="0" borderId="0" xfId="0" applyFont="1" applyAlignment="1">
      <alignment horizontal="center"/>
    </xf>
    <xf numFmtId="164" fontId="48" fillId="0" borderId="8" xfId="0" applyFont="1" applyBorder="1" applyAlignment="1">
      <alignment horizontal="center"/>
    </xf>
    <xf numFmtId="164" fontId="48" fillId="0" borderId="23" xfId="0" applyFont="1" applyBorder="1" applyAlignment="1">
      <alignment horizontal="center"/>
    </xf>
    <xf numFmtId="164" fontId="48" fillId="0" borderId="6" xfId="0" applyFont="1" applyBorder="1" applyAlignment="1">
      <alignment horizontal="center"/>
    </xf>
    <xf numFmtId="164" fontId="48" fillId="0" borderId="24" xfId="0" applyFont="1" applyBorder="1" applyAlignment="1">
      <alignment horizontal="center"/>
    </xf>
    <xf numFmtId="164" fontId="48" fillId="0" borderId="21" xfId="0" applyFont="1" applyBorder="1" applyAlignment="1">
      <alignment horizontal="center"/>
    </xf>
    <xf numFmtId="164" fontId="48" fillId="0" borderId="19" xfId="0" applyFont="1" applyBorder="1" applyAlignment="1">
      <alignment horizontal="center"/>
    </xf>
    <xf numFmtId="164" fontId="48" fillId="0" borderId="22" xfId="0" applyFont="1" applyBorder="1" applyAlignment="1">
      <alignment horizontal="center"/>
    </xf>
    <xf numFmtId="164" fontId="48" fillId="0" borderId="28" xfId="0" applyFont="1" applyBorder="1" applyAlignment="1">
      <alignment horizontal="center"/>
    </xf>
    <xf numFmtId="164" fontId="60" fillId="0" borderId="0" xfId="0" applyFont="1" applyAlignment="1">
      <alignment horizontal="centerContinuous"/>
    </xf>
    <xf numFmtId="164" fontId="30" fillId="0" borderId="8" xfId="0" applyFont="1" applyBorder="1"/>
    <xf numFmtId="164" fontId="56" fillId="0" borderId="21" xfId="0" applyFont="1" applyBorder="1" applyAlignment="1">
      <alignment horizontal="centerContinuous"/>
    </xf>
    <xf numFmtId="164" fontId="56" fillId="0" borderId="23" xfId="0" applyFont="1" applyBorder="1"/>
    <xf numFmtId="164" fontId="48" fillId="0" borderId="6" xfId="0" applyFont="1" applyBorder="1"/>
    <xf numFmtId="0" fontId="61" fillId="0" borderId="0" xfId="45" applyFont="1" applyAlignment="1">
      <alignment horizontal="center"/>
    </xf>
    <xf numFmtId="0" fontId="61" fillId="0" borderId="0" xfId="45" applyFont="1"/>
    <xf numFmtId="39" fontId="61" fillId="0" borderId="0" xfId="45" applyNumberFormat="1" applyFont="1"/>
    <xf numFmtId="168" fontId="51" fillId="0" borderId="25" xfId="1" applyNumberFormat="1" applyFont="1" applyBorder="1"/>
    <xf numFmtId="164" fontId="51" fillId="0" borderId="25" xfId="0" applyFont="1" applyBorder="1"/>
    <xf numFmtId="164" fontId="51" fillId="0" borderId="0" xfId="0" applyFont="1"/>
    <xf numFmtId="168" fontId="30" fillId="0" borderId="25" xfId="1" applyNumberFormat="1" applyFont="1" applyBorder="1"/>
    <xf numFmtId="168" fontId="30" fillId="0" borderId="8" xfId="1" applyNumberFormat="1" applyFont="1" applyBorder="1"/>
    <xf numFmtId="170" fontId="30" fillId="0" borderId="18" xfId="0" applyNumberFormat="1" applyFont="1" applyBorder="1" applyProtection="1">
      <protection locked="0"/>
    </xf>
    <xf numFmtId="164" fontId="53" fillId="0" borderId="18" xfId="0" applyFont="1" applyBorder="1"/>
    <xf numFmtId="164" fontId="56" fillId="0" borderId="18" xfId="0" applyFont="1" applyBorder="1"/>
    <xf numFmtId="168" fontId="30" fillId="0" borderId="0" xfId="0" applyNumberFormat="1" applyFont="1"/>
    <xf numFmtId="164" fontId="56" fillId="0" borderId="0" xfId="0" applyFont="1"/>
    <xf numFmtId="168" fontId="30" fillId="0" borderId="21" xfId="1" applyNumberFormat="1" applyFont="1" applyBorder="1"/>
    <xf numFmtId="168" fontId="30" fillId="0" borderId="19" xfId="1" applyNumberFormat="1" applyFont="1" applyBorder="1"/>
    <xf numFmtId="168" fontId="30" fillId="0" borderId="22" xfId="1" applyNumberFormat="1" applyFont="1" applyBorder="1"/>
    <xf numFmtId="169" fontId="30" fillId="0" borderId="21" xfId="1" applyNumberFormat="1" applyFont="1" applyBorder="1"/>
    <xf numFmtId="169" fontId="30" fillId="0" borderId="19" xfId="1" applyNumberFormat="1" applyFont="1" applyBorder="1"/>
    <xf numFmtId="169" fontId="30" fillId="0" borderId="22" xfId="1" applyNumberFormat="1" applyFont="1" applyBorder="1"/>
    <xf numFmtId="169" fontId="30" fillId="0" borderId="25" xfId="1" applyNumberFormat="1" applyFont="1" applyBorder="1"/>
    <xf numFmtId="169" fontId="30" fillId="0" borderId="0" xfId="1" applyNumberFormat="1" applyFont="1" applyBorder="1"/>
    <xf numFmtId="169" fontId="30" fillId="0" borderId="8" xfId="1" applyNumberFormat="1" applyFont="1" applyBorder="1"/>
    <xf numFmtId="164" fontId="56" fillId="0" borderId="23" xfId="0" applyFont="1" applyBorder="1" applyAlignment="1">
      <alignment horizontal="center"/>
    </xf>
    <xf numFmtId="164" fontId="56" fillId="0" borderId="6" xfId="0" applyFont="1" applyBorder="1" applyAlignment="1">
      <alignment horizontal="center"/>
    </xf>
    <xf numFmtId="164" fontId="56" fillId="0" borderId="24" xfId="0" applyFont="1" applyBorder="1" applyAlignment="1">
      <alignment horizontal="center"/>
    </xf>
    <xf numFmtId="164" fontId="59" fillId="0" borderId="0" xfId="0" applyFont="1" applyAlignment="1">
      <alignment horizontal="left"/>
    </xf>
    <xf numFmtId="164" fontId="59" fillId="0" borderId="0" xfId="0" applyFont="1"/>
    <xf numFmtId="164" fontId="53" fillId="0" borderId="19" xfId="0" applyFont="1" applyBorder="1"/>
    <xf numFmtId="164" fontId="62" fillId="0" borderId="0" xfId="0" applyFont="1"/>
    <xf numFmtId="164" fontId="50" fillId="35" borderId="0" xfId="0" applyFont="1" applyFill="1"/>
    <xf numFmtId="164" fontId="63" fillId="35" borderId="0" xfId="0" applyFont="1" applyFill="1"/>
    <xf numFmtId="164" fontId="49" fillId="0" borderId="18" xfId="0" applyFont="1" applyBorder="1"/>
    <xf numFmtId="164" fontId="49" fillId="0" borderId="27" xfId="0" applyFont="1" applyBorder="1"/>
    <xf numFmtId="164" fontId="48" fillId="0" borderId="18" xfId="0" applyFont="1" applyBorder="1"/>
    <xf numFmtId="164" fontId="51" fillId="0" borderId="24" xfId="0" applyFont="1" applyBorder="1"/>
    <xf numFmtId="164" fontId="49" fillId="0" borderId="21" xfId="0" applyFont="1" applyBorder="1" applyAlignment="1">
      <alignment horizontal="centerContinuous"/>
    </xf>
    <xf numFmtId="164" fontId="49" fillId="0" borderId="22" xfId="0" applyFont="1" applyBorder="1" applyAlignment="1">
      <alignment horizontal="centerContinuous"/>
    </xf>
    <xf numFmtId="164" fontId="48" fillId="0" borderId="19" xfId="0" applyFont="1" applyBorder="1" applyAlignment="1">
      <alignment horizontal="centerContinuous"/>
    </xf>
    <xf numFmtId="169" fontId="51" fillId="0" borderId="0" xfId="1" applyNumberFormat="1" applyFont="1" applyFill="1" applyBorder="1"/>
    <xf numFmtId="169" fontId="51" fillId="0" borderId="8" xfId="1" applyNumberFormat="1" applyFont="1" applyFill="1" applyBorder="1"/>
    <xf numFmtId="168" fontId="51" fillId="0" borderId="25" xfId="1" applyNumberFormat="1" applyFont="1" applyFill="1" applyBorder="1"/>
    <xf numFmtId="168" fontId="51" fillId="0" borderId="0" xfId="1" applyNumberFormat="1" applyFont="1" applyFill="1" applyBorder="1"/>
    <xf numFmtId="168" fontId="51" fillId="0" borderId="8" xfId="1" applyNumberFormat="1" applyFont="1" applyFill="1" applyBorder="1"/>
    <xf numFmtId="164" fontId="48" fillId="0" borderId="8" xfId="0" applyFont="1" applyBorder="1"/>
    <xf numFmtId="171" fontId="51" fillId="0" borderId="8" xfId="1" applyNumberFormat="1" applyFont="1" applyFill="1" applyBorder="1"/>
    <xf numFmtId="0" fontId="49" fillId="0" borderId="0" xfId="0" applyNumberFormat="1" applyFont="1" applyAlignment="1">
      <alignment horizontal="centerContinuous"/>
    </xf>
    <xf numFmtId="169" fontId="51" fillId="0" borderId="0" xfId="1" applyNumberFormat="1" applyFont="1"/>
    <xf numFmtId="168" fontId="51" fillId="0" borderId="0" xfId="1" applyNumberFormat="1" applyFont="1"/>
    <xf numFmtId="164" fontId="11" fillId="0" borderId="0" xfId="0" applyFont="1"/>
    <xf numFmtId="164" fontId="35" fillId="0" borderId="0" xfId="0" applyFont="1" applyAlignment="1">
      <alignment horizontal="right"/>
    </xf>
    <xf numFmtId="0" fontId="35" fillId="0" borderId="0" xfId="50" applyFont="1"/>
    <xf numFmtId="0" fontId="11" fillId="0" borderId="0" xfId="50"/>
    <xf numFmtId="0" fontId="64" fillId="0" borderId="0" xfId="50" quotePrefix="1" applyFont="1" applyAlignment="1">
      <alignment horizontal="centerContinuous"/>
    </xf>
    <xf numFmtId="168" fontId="11" fillId="0" borderId="0" xfId="1" applyNumberFormat="1" applyFont="1" applyAlignment="1">
      <alignment horizontal="centerContinuous"/>
    </xf>
    <xf numFmtId="168" fontId="11" fillId="0" borderId="0" xfId="1" applyNumberFormat="1" applyFont="1"/>
    <xf numFmtId="168" fontId="35" fillId="0" borderId="0" xfId="1" applyNumberFormat="1" applyFont="1" applyAlignment="1">
      <alignment horizontal="centerContinuous"/>
    </xf>
    <xf numFmtId="164" fontId="11" fillId="0" borderId="0" xfId="0" applyFont="1" applyAlignment="1">
      <alignment horizontal="centerContinuous"/>
    </xf>
    <xf numFmtId="0" fontId="35" fillId="0" borderId="0" xfId="50" applyFont="1" applyAlignment="1">
      <alignment horizontal="center"/>
    </xf>
    <xf numFmtId="168" fontId="35" fillId="0" borderId="0" xfId="1" applyNumberFormat="1" applyFont="1" applyAlignment="1">
      <alignment horizontal="center"/>
    </xf>
    <xf numFmtId="164" fontId="35" fillId="0" borderId="0" xfId="0" applyFont="1" applyAlignment="1">
      <alignment horizontal="center"/>
    </xf>
    <xf numFmtId="168" fontId="65" fillId="0" borderId="0" xfId="1" applyNumberFormat="1" applyFont="1"/>
    <xf numFmtId="168" fontId="66" fillId="0" borderId="0" xfId="0" applyNumberFormat="1" applyFont="1"/>
    <xf numFmtId="177" fontId="11" fillId="0" borderId="0" xfId="44" applyNumberFormat="1" applyFont="1"/>
    <xf numFmtId="0" fontId="35" fillId="0" borderId="0" xfId="50" applyFont="1" applyAlignment="1">
      <alignment horizontal="centerContinuous"/>
    </xf>
    <xf numFmtId="173" fontId="66" fillId="0" borderId="0" xfId="50" applyNumberFormat="1" applyFont="1" applyAlignment="1">
      <alignment horizontal="center"/>
    </xf>
    <xf numFmtId="173" fontId="66" fillId="0" borderId="31" xfId="50" applyNumberFormat="1" applyFont="1" applyBorder="1" applyAlignment="1">
      <alignment horizontal="center"/>
    </xf>
    <xf numFmtId="164" fontId="67" fillId="0" borderId="0" xfId="0" quotePrefix="1" applyFont="1"/>
    <xf numFmtId="164" fontId="35" fillId="0" borderId="0" xfId="0" applyFont="1"/>
    <xf numFmtId="173" fontId="35" fillId="0" borderId="31" xfId="1" applyNumberFormat="1" applyFont="1" applyBorder="1"/>
    <xf numFmtId="173" fontId="66" fillId="0" borderId="32" xfId="50" applyNumberFormat="1" applyFont="1" applyBorder="1" applyAlignment="1">
      <alignment horizontal="center"/>
    </xf>
    <xf numFmtId="173" fontId="66" fillId="0" borderId="33" xfId="50" applyNumberFormat="1" applyFont="1" applyBorder="1" applyAlignment="1">
      <alignment horizontal="center"/>
    </xf>
    <xf numFmtId="173" fontId="66" fillId="0" borderId="34" xfId="50" applyNumberFormat="1" applyFont="1" applyBorder="1" applyAlignment="1">
      <alignment horizontal="center"/>
    </xf>
    <xf numFmtId="173" fontId="66" fillId="0" borderId="35" xfId="50" applyNumberFormat="1" applyFont="1" applyBorder="1" applyAlignment="1">
      <alignment horizontal="center"/>
    </xf>
    <xf numFmtId="173" fontId="66" fillId="0" borderId="36" xfId="50" applyNumberFormat="1" applyFont="1" applyBorder="1" applyAlignment="1">
      <alignment horizontal="center"/>
    </xf>
    <xf numFmtId="173" fontId="66" fillId="0" borderId="37" xfId="50" applyNumberFormat="1" applyFont="1" applyBorder="1" applyAlignment="1">
      <alignment horizontal="center"/>
    </xf>
    <xf numFmtId="173" fontId="66" fillId="0" borderId="38" xfId="50" applyNumberFormat="1" applyFont="1" applyBorder="1" applyAlignment="1">
      <alignment horizontal="center"/>
    </xf>
    <xf numFmtId="173" fontId="66" fillId="0" borderId="39" xfId="50" applyNumberFormat="1" applyFont="1" applyBorder="1" applyAlignment="1">
      <alignment horizontal="center"/>
    </xf>
    <xf numFmtId="164" fontId="11" fillId="0" borderId="0" xfId="0" quotePrefix="1" applyFont="1" applyAlignment="1">
      <alignment horizontal="centerContinuous"/>
    </xf>
    <xf numFmtId="169" fontId="11" fillId="0" borderId="0" xfId="1" applyNumberFormat="1" applyFont="1"/>
    <xf numFmtId="169" fontId="11" fillId="0" borderId="0" xfId="1" applyNumberFormat="1" applyFont="1" applyAlignment="1">
      <alignment horizontal="right"/>
    </xf>
    <xf numFmtId="0" fontId="11" fillId="0" borderId="31" xfId="1" applyNumberFormat="1" applyFont="1" applyBorder="1" applyAlignment="1">
      <alignment horizontal="center" vertical="center"/>
    </xf>
    <xf numFmtId="14" fontId="11" fillId="0" borderId="0" xfId="1" quotePrefix="1" applyNumberFormat="1" applyFont="1" applyAlignment="1">
      <alignment horizontal="center"/>
    </xf>
    <xf numFmtId="169" fontId="51" fillId="0" borderId="22" xfId="0" applyNumberFormat="1" applyFont="1" applyBorder="1"/>
    <xf numFmtId="169" fontId="51" fillId="0" borderId="8" xfId="0" applyNumberFormat="1" applyFont="1" applyBorder="1"/>
    <xf numFmtId="168" fontId="34" fillId="0" borderId="0" xfId="1" applyNumberFormat="1" applyFont="1"/>
    <xf numFmtId="10" fontId="65" fillId="0" borderId="0" xfId="49" applyNumberFormat="1" applyFont="1"/>
    <xf numFmtId="172" fontId="0" fillId="35" borderId="0" xfId="0" applyNumberFormat="1" applyFill="1"/>
    <xf numFmtId="164" fontId="53" fillId="35" borderId="0" xfId="0" applyFont="1" applyFill="1"/>
    <xf numFmtId="166" fontId="34" fillId="36" borderId="0" xfId="1" applyNumberFormat="1" applyFont="1" applyFill="1" applyAlignment="1">
      <alignment horizontal="left"/>
    </xf>
    <xf numFmtId="166" fontId="34" fillId="36" borderId="0" xfId="1" applyNumberFormat="1" applyFont="1" applyFill="1" applyAlignment="1">
      <alignment horizontal="right"/>
    </xf>
    <xf numFmtId="168" fontId="34" fillId="36" borderId="0" xfId="1" applyNumberFormat="1" applyFont="1" applyFill="1" applyAlignment="1">
      <alignment horizontal="right"/>
    </xf>
    <xf numFmtId="0" fontId="46" fillId="0" borderId="0" xfId="45" applyFont="1"/>
    <xf numFmtId="164" fontId="69" fillId="0" borderId="0" xfId="0" applyFont="1"/>
    <xf numFmtId="173" fontId="46" fillId="0" borderId="0" xfId="0" applyNumberFormat="1" applyFont="1"/>
    <xf numFmtId="166" fontId="34" fillId="0" borderId="0" xfId="1" applyNumberFormat="1" applyFont="1" applyFill="1" applyAlignment="1">
      <alignment horizontal="left"/>
    </xf>
    <xf numFmtId="166" fontId="34" fillId="0" borderId="0" xfId="1" applyNumberFormat="1" applyFont="1" applyFill="1" applyAlignment="1">
      <alignment horizontal="right"/>
    </xf>
    <xf numFmtId="166" fontId="11" fillId="0" borderId="0" xfId="1" applyNumberFormat="1" applyFont="1" applyFill="1" applyAlignment="1">
      <alignment horizontal="left"/>
    </xf>
    <xf numFmtId="166" fontId="11" fillId="0" borderId="0" xfId="1" applyNumberFormat="1" applyFont="1" applyFill="1" applyAlignment="1">
      <alignment horizontal="right"/>
    </xf>
    <xf numFmtId="168" fontId="34" fillId="0" borderId="0" xfId="1" applyNumberFormat="1" applyFont="1" applyFill="1" applyAlignment="1">
      <alignment horizontal="right"/>
    </xf>
    <xf numFmtId="164" fontId="63" fillId="0" borderId="0" xfId="0" applyFont="1"/>
    <xf numFmtId="164" fontId="48" fillId="35" borderId="0" xfId="0" applyFont="1" applyFill="1"/>
    <xf numFmtId="164" fontId="48" fillId="0" borderId="20" xfId="0" applyFont="1" applyBorder="1" applyAlignment="1">
      <alignment horizontal="center"/>
    </xf>
    <xf numFmtId="168" fontId="51" fillId="0" borderId="0" xfId="1" applyNumberFormat="1" applyFont="1" applyBorder="1"/>
    <xf numFmtId="168" fontId="51" fillId="0" borderId="8" xfId="1" applyNumberFormat="1" applyFont="1" applyBorder="1"/>
    <xf numFmtId="37" fontId="51" fillId="0" borderId="30" xfId="1" applyNumberFormat="1" applyFont="1" applyFill="1" applyBorder="1"/>
    <xf numFmtId="164" fontId="68" fillId="0" borderId="0" xfId="0" applyFont="1"/>
    <xf numFmtId="164" fontId="48" fillId="0" borderId="21" xfId="0" applyFont="1" applyBorder="1" applyAlignment="1">
      <alignment horizontal="centerContinuous"/>
    </xf>
    <xf numFmtId="164" fontId="48" fillId="0" borderId="23" xfId="0" applyFont="1" applyBorder="1" applyAlignment="1">
      <alignment horizontal="centerContinuous"/>
    </xf>
    <xf numFmtId="164" fontId="48" fillId="0" borderId="6" xfId="0" applyFont="1" applyBorder="1" applyAlignment="1">
      <alignment horizontal="centerContinuous"/>
    </xf>
    <xf numFmtId="164" fontId="48" fillId="0" borderId="24" xfId="0" applyFont="1" applyBorder="1" applyAlignment="1">
      <alignment horizontal="centerContinuous"/>
    </xf>
    <xf numFmtId="164" fontId="48" fillId="0" borderId="21" xfId="0" applyFont="1" applyBorder="1"/>
    <xf numFmtId="164" fontId="48" fillId="0" borderId="19" xfId="0" applyFont="1" applyBorder="1"/>
    <xf numFmtId="164" fontId="70" fillId="0" borderId="18" xfId="0" applyFont="1" applyBorder="1"/>
    <xf numFmtId="164" fontId="60" fillId="0" borderId="18" xfId="0" applyFont="1" applyBorder="1" applyAlignment="1">
      <alignment horizontal="right"/>
    </xf>
    <xf numFmtId="164" fontId="70" fillId="0" borderId="0" xfId="0" applyFont="1"/>
    <xf numFmtId="164" fontId="71" fillId="0" borderId="0" xfId="0" applyFont="1"/>
    <xf numFmtId="164" fontId="48" fillId="0" borderId="26" xfId="0" applyFont="1" applyBorder="1"/>
    <xf numFmtId="164" fontId="48" fillId="0" borderId="20" xfId="0" applyFont="1" applyBorder="1"/>
    <xf numFmtId="164" fontId="48" fillId="0" borderId="27" xfId="0" applyFont="1" applyBorder="1"/>
    <xf numFmtId="164" fontId="49" fillId="0" borderId="28" xfId="0" applyFont="1" applyBorder="1" applyAlignment="1">
      <alignment horizontal="centerContinuous"/>
    </xf>
    <xf numFmtId="171" fontId="51" fillId="0" borderId="0" xfId="1" applyNumberFormat="1" applyFont="1"/>
    <xf numFmtId="164" fontId="48" fillId="0" borderId="0" xfId="0" quotePrefix="1" applyFont="1"/>
    <xf numFmtId="164" fontId="48" fillId="36" borderId="0" xfId="0" applyFont="1" applyFill="1"/>
    <xf numFmtId="164" fontId="48" fillId="0" borderId="0" xfId="0" applyFont="1" applyAlignment="1">
      <alignment horizontal="centerContinuous"/>
    </xf>
    <xf numFmtId="164" fontId="14" fillId="0" borderId="0" xfId="42"/>
    <xf numFmtId="0" fontId="11" fillId="0" borderId="0" xfId="71"/>
    <xf numFmtId="0" fontId="11" fillId="0" borderId="0" xfId="71" quotePrefix="1" applyAlignment="1">
      <alignment horizontal="left"/>
    </xf>
    <xf numFmtId="0" fontId="11" fillId="0" borderId="0" xfId="71" applyAlignment="1">
      <alignment horizontal="right"/>
    </xf>
    <xf numFmtId="0" fontId="11" fillId="0" borderId="0" xfId="71" quotePrefix="1" applyAlignment="1">
      <alignment horizontal="right"/>
    </xf>
    <xf numFmtId="14" fontId="11" fillId="0" borderId="0" xfId="71" quotePrefix="1" applyNumberFormat="1" applyAlignment="1">
      <alignment horizontal="right"/>
    </xf>
    <xf numFmtId="14" fontId="35" fillId="0" borderId="0" xfId="0" applyNumberFormat="1" applyFont="1" applyAlignment="1">
      <alignment horizontal="center"/>
    </xf>
    <xf numFmtId="165" fontId="35" fillId="0" borderId="0" xfId="0" applyNumberFormat="1" applyFont="1" applyAlignment="1">
      <alignment horizontal="center"/>
    </xf>
    <xf numFmtId="1" fontId="35" fillId="0" borderId="0" xfId="0" applyNumberFormat="1" applyFont="1" applyAlignment="1">
      <alignment horizontal="center"/>
    </xf>
    <xf numFmtId="164" fontId="64" fillId="0" borderId="0" xfId="0" applyFont="1" applyAlignment="1">
      <alignment horizontal="center"/>
    </xf>
    <xf numFmtId="1" fontId="64" fillId="0" borderId="0" xfId="0" applyNumberFormat="1" applyFont="1" applyAlignment="1">
      <alignment horizontal="center"/>
    </xf>
    <xf numFmtId="164" fontId="11" fillId="0" borderId="0" xfId="0" applyFont="1" applyAlignment="1">
      <alignment horizontal="center" vertical="center"/>
    </xf>
    <xf numFmtId="1" fontId="11" fillId="0" borderId="0" xfId="0" applyNumberFormat="1" applyFont="1" applyAlignment="1">
      <alignment horizontal="center" vertical="center"/>
    </xf>
    <xf numFmtId="1" fontId="11" fillId="0" borderId="0" xfId="0" applyNumberFormat="1" applyFont="1" applyAlignment="1">
      <alignment horizontal="center"/>
    </xf>
    <xf numFmtId="164" fontId="11" fillId="0" borderId="0" xfId="0" applyFont="1" applyAlignment="1">
      <alignment horizontal="center"/>
    </xf>
    <xf numFmtId="178" fontId="35" fillId="0" borderId="0" xfId="0" quotePrefix="1" applyNumberFormat="1" applyFont="1" applyAlignment="1">
      <alignment horizontal="center"/>
    </xf>
    <xf numFmtId="1" fontId="34" fillId="0" borderId="0" xfId="0" applyNumberFormat="1" applyFont="1" applyAlignment="1">
      <alignment horizontal="center" vertical="center"/>
    </xf>
    <xf numFmtId="164" fontId="73" fillId="0" borderId="0" xfId="0" applyFont="1"/>
    <xf numFmtId="164" fontId="0" fillId="0" borderId="0" xfId="0" quotePrefix="1"/>
    <xf numFmtId="164" fontId="17" fillId="0" borderId="0" xfId="0" applyFont="1"/>
    <xf numFmtId="0" fontId="7" fillId="0" borderId="0" xfId="75"/>
    <xf numFmtId="164" fontId="11" fillId="38" borderId="0" xfId="0" applyFont="1" applyFill="1"/>
    <xf numFmtId="49" fontId="11" fillId="0" borderId="0" xfId="0" applyNumberFormat="1" applyFont="1"/>
    <xf numFmtId="168" fontId="11" fillId="0" borderId="0" xfId="1" applyNumberFormat="1" applyFont="1" applyFill="1"/>
    <xf numFmtId="0" fontId="74" fillId="0" borderId="0" xfId="75" applyFont="1"/>
    <xf numFmtId="164" fontId="34" fillId="0" borderId="0" xfId="0" applyFont="1"/>
    <xf numFmtId="1" fontId="11" fillId="0" borderId="0" xfId="0" applyNumberFormat="1" applyFont="1"/>
    <xf numFmtId="164" fontId="46" fillId="0" borderId="0" xfId="0" applyFont="1"/>
    <xf numFmtId="168" fontId="52" fillId="0" borderId="0" xfId="1" applyNumberFormat="1" applyFont="1" applyBorder="1"/>
    <xf numFmtId="164" fontId="53" fillId="0" borderId="22" xfId="0" quotePrefix="1" applyFont="1" applyBorder="1" applyAlignment="1">
      <alignment horizontal="center"/>
    </xf>
    <xf numFmtId="164" fontId="11" fillId="2" borderId="0" xfId="42" applyFont="1" applyFill="1"/>
    <xf numFmtId="166" fontId="44" fillId="36" borderId="0" xfId="1" applyNumberFormat="1" applyFont="1" applyFill="1" applyAlignment="1">
      <alignment horizontal="left"/>
    </xf>
    <xf numFmtId="166" fontId="44" fillId="36" borderId="0" xfId="1" applyNumberFormat="1" applyFont="1" applyFill="1" applyAlignment="1">
      <alignment horizontal="right"/>
    </xf>
    <xf numFmtId="168" fontId="44" fillId="36" borderId="0" xfId="1" applyNumberFormat="1" applyFont="1" applyFill="1" applyAlignment="1">
      <alignment horizontal="right"/>
    </xf>
    <xf numFmtId="173" fontId="78" fillId="37" borderId="0" xfId="0" applyNumberFormat="1" applyFont="1" applyFill="1"/>
    <xf numFmtId="166" fontId="44" fillId="35" borderId="0" xfId="0" applyNumberFormat="1" applyFont="1" applyFill="1" applyAlignment="1">
      <alignment horizontal="center"/>
    </xf>
    <xf numFmtId="37" fontId="44" fillId="35" borderId="0" xfId="0" applyNumberFormat="1" applyFont="1" applyFill="1" applyAlignment="1">
      <alignment horizontal="center"/>
    </xf>
    <xf numFmtId="164" fontId="44" fillId="35" borderId="0" xfId="0" applyFont="1" applyFill="1" applyAlignment="1">
      <alignment horizontal="center"/>
    </xf>
    <xf numFmtId="170" fontId="44" fillId="35" borderId="0" xfId="0" applyNumberFormat="1" applyFont="1" applyFill="1"/>
    <xf numFmtId="170" fontId="44" fillId="2" borderId="0" xfId="0" applyNumberFormat="1" applyFont="1" applyFill="1"/>
    <xf numFmtId="164" fontId="44" fillId="2" borderId="0" xfId="0" applyFont="1" applyFill="1"/>
    <xf numFmtId="174" fontId="44" fillId="37" borderId="0" xfId="43" applyNumberFormat="1" applyFont="1" applyFill="1"/>
    <xf numFmtId="179" fontId="72" fillId="0" borderId="0" xfId="0" applyNumberFormat="1" applyFont="1"/>
    <xf numFmtId="164" fontId="11" fillId="37" borderId="0" xfId="0" applyFont="1" applyFill="1"/>
    <xf numFmtId="164" fontId="16" fillId="0" borderId="0" xfId="0" applyFont="1"/>
    <xf numFmtId="169" fontId="51" fillId="0" borderId="0" xfId="0" applyNumberFormat="1" applyFont="1"/>
    <xf numFmtId="164" fontId="48" fillId="0" borderId="25" xfId="0" applyFont="1" applyBorder="1"/>
    <xf numFmtId="164" fontId="78" fillId="0" borderId="0" xfId="0" applyFont="1"/>
    <xf numFmtId="165" fontId="11" fillId="0" borderId="0" xfId="0" applyNumberFormat="1" applyFont="1" applyAlignment="1">
      <alignment vertical="center"/>
    </xf>
    <xf numFmtId="169" fontId="53" fillId="0" borderId="0" xfId="1" applyNumberFormat="1" applyFont="1" applyBorder="1"/>
    <xf numFmtId="169" fontId="53" fillId="0" borderId="8" xfId="1" applyNumberFormat="1" applyFont="1" applyBorder="1"/>
    <xf numFmtId="164" fontId="51" fillId="0" borderId="6" xfId="0" applyFont="1" applyBorder="1"/>
    <xf numFmtId="164" fontId="0" fillId="0" borderId="0" xfId="0" applyAlignment="1">
      <alignment horizontal="right"/>
    </xf>
    <xf numFmtId="164" fontId="79" fillId="0" borderId="0" xfId="0" applyFont="1"/>
    <xf numFmtId="164" fontId="80" fillId="2" borderId="0" xfId="0" applyFont="1" applyFill="1" applyAlignment="1">
      <alignment horizontal="left"/>
    </xf>
    <xf numFmtId="164" fontId="80" fillId="2" borderId="0" xfId="0" applyFont="1" applyFill="1"/>
    <xf numFmtId="164" fontId="80" fillId="2" borderId="0" xfId="0" quotePrefix="1" applyFont="1" applyFill="1" applyAlignment="1" applyProtection="1">
      <alignment horizontal="left"/>
      <protection locked="0"/>
    </xf>
    <xf numFmtId="164" fontId="80" fillId="0" borderId="0" xfId="0" applyFont="1"/>
    <xf numFmtId="164" fontId="80" fillId="0" borderId="0" xfId="0" applyFont="1" applyAlignment="1">
      <alignment horizontal="right"/>
    </xf>
    <xf numFmtId="0" fontId="80" fillId="2" borderId="0" xfId="0" applyNumberFormat="1" applyFont="1" applyFill="1"/>
    <xf numFmtId="164" fontId="80" fillId="2" borderId="0" xfId="0" applyFont="1" applyFill="1" applyProtection="1">
      <protection locked="0"/>
    </xf>
    <xf numFmtId="164" fontId="80" fillId="2" borderId="0" xfId="0" applyFont="1" applyFill="1" applyAlignment="1">
      <alignment horizontal="right"/>
    </xf>
    <xf numFmtId="164" fontId="80" fillId="2" borderId="0" xfId="0" applyFont="1" applyFill="1" applyAlignment="1">
      <alignment horizontal="center"/>
    </xf>
    <xf numFmtId="164" fontId="80" fillId="2" borderId="0" xfId="0" quotePrefix="1" applyFont="1" applyFill="1"/>
    <xf numFmtId="164" fontId="81" fillId="0" borderId="18" xfId="0" applyFont="1" applyBorder="1"/>
    <xf numFmtId="164" fontId="80" fillId="2" borderId="8" xfId="0" applyFont="1" applyFill="1" applyBorder="1" applyAlignment="1">
      <alignment horizontal="center"/>
    </xf>
    <xf numFmtId="164" fontId="80" fillId="2" borderId="30" xfId="0" applyFont="1" applyFill="1" applyBorder="1"/>
    <xf numFmtId="164" fontId="80" fillId="2" borderId="5" xfId="0" applyFont="1" applyFill="1" applyBorder="1"/>
    <xf numFmtId="164" fontId="80" fillId="2" borderId="43" xfId="0" applyFont="1" applyFill="1" applyBorder="1" applyAlignment="1">
      <alignment horizontal="center"/>
    </xf>
    <xf numFmtId="164" fontId="80" fillId="2" borderId="29" xfId="0" applyFont="1" applyFill="1" applyBorder="1"/>
    <xf numFmtId="164" fontId="80" fillId="2" borderId="28" xfId="0" applyFont="1" applyFill="1" applyBorder="1"/>
    <xf numFmtId="164" fontId="80" fillId="2" borderId="0" xfId="0" applyFont="1" applyFill="1" applyAlignment="1">
      <alignment vertical="center"/>
    </xf>
    <xf numFmtId="164" fontId="80" fillId="0" borderId="0" xfId="0" applyFont="1" applyAlignment="1">
      <alignment vertical="center"/>
    </xf>
    <xf numFmtId="164" fontId="80" fillId="0" borderId="0" xfId="0" applyFont="1" applyAlignment="1">
      <alignment horizontal="right" vertical="center"/>
    </xf>
    <xf numFmtId="164" fontId="80" fillId="2" borderId="7" xfId="0" applyFont="1" applyFill="1" applyBorder="1"/>
    <xf numFmtId="164" fontId="80" fillId="2" borderId="50" xfId="0" applyFont="1" applyFill="1" applyBorder="1" applyAlignment="1">
      <alignment horizontal="center"/>
    </xf>
    <xf numFmtId="164" fontId="80" fillId="2" borderId="44" xfId="0" applyFont="1" applyFill="1" applyBorder="1" applyAlignment="1">
      <alignment horizontal="center"/>
    </xf>
    <xf numFmtId="164" fontId="80" fillId="2" borderId="6" xfId="0" applyFont="1" applyFill="1" applyBorder="1"/>
    <xf numFmtId="164" fontId="80" fillId="2" borderId="24" xfId="0" applyFont="1" applyFill="1" applyBorder="1"/>
    <xf numFmtId="164" fontId="80" fillId="2" borderId="6" xfId="0" applyFont="1" applyFill="1" applyBorder="1" applyAlignment="1">
      <alignment horizontal="left"/>
    </xf>
    <xf numFmtId="164" fontId="81" fillId="0" borderId="0" xfId="0" applyFont="1"/>
    <xf numFmtId="167" fontId="80" fillId="2" borderId="6" xfId="0" applyNumberFormat="1" applyFont="1" applyFill="1" applyBorder="1"/>
    <xf numFmtId="164" fontId="80" fillId="2" borderId="22" xfId="0" applyFont="1" applyFill="1" applyBorder="1" applyAlignment="1">
      <alignment horizontal="left"/>
    </xf>
    <xf numFmtId="167" fontId="80" fillId="2" borderId="0" xfId="0" applyNumberFormat="1" applyFont="1" applyFill="1"/>
    <xf numFmtId="167" fontId="80" fillId="2" borderId="22" xfId="0" applyNumberFormat="1" applyFont="1" applyFill="1" applyBorder="1" applyAlignment="1">
      <alignment horizontal="right"/>
    </xf>
    <xf numFmtId="164" fontId="80" fillId="2" borderId="27" xfId="0" quotePrefix="1" applyFont="1" applyFill="1" applyBorder="1" applyAlignment="1">
      <alignment horizontal="left"/>
    </xf>
    <xf numFmtId="164" fontId="80" fillId="2" borderId="27" xfId="0" applyFont="1" applyFill="1" applyBorder="1" applyAlignment="1">
      <alignment horizontal="center"/>
    </xf>
    <xf numFmtId="164" fontId="80" fillId="2" borderId="20" xfId="0" applyFont="1" applyFill="1" applyBorder="1"/>
    <xf numFmtId="164" fontId="80" fillId="2" borderId="27" xfId="0" applyFont="1" applyFill="1" applyBorder="1" applyAlignment="1">
      <alignment horizontal="right"/>
    </xf>
    <xf numFmtId="1" fontId="80" fillId="0" borderId="0" xfId="0" applyNumberFormat="1" applyFont="1"/>
    <xf numFmtId="164" fontId="80" fillId="2" borderId="0" xfId="0" quotePrefix="1" applyFont="1" applyFill="1" applyAlignment="1">
      <alignment horizontal="left"/>
    </xf>
    <xf numFmtId="164" fontId="80" fillId="2" borderId="0" xfId="0" quotePrefix="1" applyFont="1" applyFill="1" applyAlignment="1">
      <alignment horizontal="right"/>
    </xf>
    <xf numFmtId="164" fontId="80" fillId="2" borderId="0" xfId="0" applyFont="1" applyFill="1" applyAlignment="1" applyProtection="1">
      <alignment horizontal="left"/>
      <protection locked="0"/>
    </xf>
    <xf numFmtId="164" fontId="80" fillId="2" borderId="0" xfId="0" quotePrefix="1" applyFont="1" applyFill="1" applyAlignment="1" applyProtection="1">
      <alignment horizontal="right"/>
      <protection locked="0"/>
    </xf>
    <xf numFmtId="164" fontId="80" fillId="2" borderId="2" xfId="0" applyFont="1" applyFill="1" applyBorder="1"/>
    <xf numFmtId="164" fontId="80" fillId="2" borderId="1" xfId="0" applyFont="1" applyFill="1" applyBorder="1"/>
    <xf numFmtId="164" fontId="80" fillId="2" borderId="2" xfId="0" quotePrefix="1" applyFont="1" applyFill="1" applyBorder="1" applyAlignment="1">
      <alignment horizontal="left"/>
    </xf>
    <xf numFmtId="164" fontId="80" fillId="2" borderId="3" xfId="0" applyFont="1" applyFill="1" applyBorder="1"/>
    <xf numFmtId="164" fontId="80" fillId="2" borderId="4" xfId="0" applyFont="1" applyFill="1" applyBorder="1"/>
    <xf numFmtId="164" fontId="80" fillId="2" borderId="4" xfId="0" applyFont="1" applyFill="1" applyBorder="1" applyAlignment="1">
      <alignment horizontal="right"/>
    </xf>
    <xf numFmtId="164" fontId="80" fillId="2" borderId="5" xfId="0" applyFont="1" applyFill="1" applyBorder="1" applyAlignment="1">
      <alignment horizontal="center"/>
    </xf>
    <xf numFmtId="164" fontId="80" fillId="2" borderId="7" xfId="0" applyFont="1" applyFill="1" applyBorder="1" applyAlignment="1">
      <alignment horizontal="right"/>
    </xf>
    <xf numFmtId="164" fontId="80" fillId="2" borderId="5" xfId="0" applyFont="1" applyFill="1" applyBorder="1" applyAlignment="1">
      <alignment horizontal="right"/>
    </xf>
    <xf numFmtId="37" fontId="80" fillId="2" borderId="2" xfId="0" applyNumberFormat="1" applyFont="1" applyFill="1" applyBorder="1" applyProtection="1">
      <protection locked="0"/>
    </xf>
    <xf numFmtId="37" fontId="80" fillId="2" borderId="0" xfId="0" applyNumberFormat="1" applyFont="1" applyFill="1" applyProtection="1">
      <protection locked="0"/>
    </xf>
    <xf numFmtId="37" fontId="80" fillId="2" borderId="6" xfId="0" applyNumberFormat="1" applyFont="1" applyFill="1" applyBorder="1" applyProtection="1">
      <protection locked="0"/>
    </xf>
    <xf numFmtId="164" fontId="80" fillId="2" borderId="40" xfId="0" applyFont="1" applyFill="1" applyBorder="1" applyAlignment="1">
      <alignment horizontal="center"/>
    </xf>
    <xf numFmtId="164" fontId="80" fillId="2" borderId="18" xfId="0" applyFont="1" applyFill="1" applyBorder="1"/>
    <xf numFmtId="164" fontId="80" fillId="2" borderId="19" xfId="0" applyFont="1" applyFill="1" applyBorder="1" applyAlignment="1">
      <alignment horizontal="center"/>
    </xf>
    <xf numFmtId="164" fontId="80" fillId="2" borderId="6" xfId="0" applyFont="1" applyFill="1" applyBorder="1" applyAlignment="1">
      <alignment horizontal="center"/>
    </xf>
    <xf numFmtId="164" fontId="80" fillId="2" borderId="6" xfId="0" applyFont="1" applyFill="1" applyBorder="1" applyAlignment="1">
      <alignment horizontal="center" vertical="center"/>
    </xf>
    <xf numFmtId="164" fontId="80" fillId="2" borderId="6" xfId="0" applyFont="1" applyFill="1" applyBorder="1" applyAlignment="1">
      <alignment vertical="center"/>
    </xf>
    <xf numFmtId="164" fontId="80" fillId="2" borderId="20" xfId="0" applyFont="1" applyFill="1" applyBorder="1" applyAlignment="1">
      <alignment horizontal="center" vertical="center"/>
    </xf>
    <xf numFmtId="164" fontId="80" fillId="2" borderId="20" xfId="0" applyFont="1" applyFill="1" applyBorder="1" applyAlignment="1">
      <alignment vertical="center"/>
    </xf>
    <xf numFmtId="164" fontId="80" fillId="2" borderId="22" xfId="0" applyFont="1" applyFill="1" applyBorder="1"/>
    <xf numFmtId="164" fontId="80" fillId="2" borderId="27" xfId="0" applyFont="1" applyFill="1" applyBorder="1"/>
    <xf numFmtId="164" fontId="80" fillId="2" borderId="27" xfId="0" quotePrefix="1" applyFont="1" applyFill="1" applyBorder="1" applyAlignment="1">
      <alignment horizontal="right"/>
    </xf>
    <xf numFmtId="164" fontId="80" fillId="2" borderId="28" xfId="0" applyFont="1" applyFill="1" applyBorder="1" applyAlignment="1">
      <alignment horizontal="center"/>
    </xf>
    <xf numFmtId="164" fontId="80" fillId="2" borderId="41" xfId="0" applyFont="1" applyFill="1" applyBorder="1" applyAlignment="1">
      <alignment horizontal="center"/>
    </xf>
    <xf numFmtId="164" fontId="80" fillId="2" borderId="22" xfId="0" applyFont="1" applyFill="1" applyBorder="1" applyAlignment="1">
      <alignment horizontal="center"/>
    </xf>
    <xf numFmtId="164" fontId="80" fillId="2" borderId="2" xfId="0" applyFont="1" applyFill="1" applyBorder="1" applyAlignment="1">
      <alignment horizontal="center"/>
    </xf>
    <xf numFmtId="164" fontId="80" fillId="2" borderId="6" xfId="0" applyFont="1" applyFill="1" applyBorder="1" applyAlignment="1">
      <alignment horizontal="left" vertical="center"/>
    </xf>
    <xf numFmtId="164" fontId="80" fillId="2" borderId="18" xfId="0" applyFont="1" applyFill="1" applyBorder="1" applyAlignment="1">
      <alignment horizontal="center"/>
    </xf>
    <xf numFmtId="164" fontId="80" fillId="2" borderId="20" xfId="0" applyFont="1" applyFill="1" applyBorder="1" applyAlignment="1">
      <alignment horizontal="left" vertical="center"/>
    </xf>
    <xf numFmtId="164" fontId="80" fillId="2" borderId="45" xfId="0" applyFont="1" applyFill="1" applyBorder="1" applyAlignment="1">
      <alignment horizontal="center"/>
    </xf>
    <xf numFmtId="164" fontId="80" fillId="2" borderId="46" xfId="0" applyFont="1" applyFill="1" applyBorder="1" applyAlignment="1">
      <alignment horizontal="center"/>
    </xf>
    <xf numFmtId="164" fontId="80" fillId="2" borderId="47" xfId="0" applyFont="1" applyFill="1" applyBorder="1" applyAlignment="1">
      <alignment horizontal="center"/>
    </xf>
    <xf numFmtId="164" fontId="80" fillId="2" borderId="24" xfId="0" applyFont="1" applyFill="1" applyBorder="1" applyAlignment="1">
      <alignment horizontal="center"/>
    </xf>
    <xf numFmtId="164" fontId="80" fillId="2" borderId="6" xfId="0" quotePrefix="1" applyFont="1" applyFill="1" applyBorder="1" applyAlignment="1">
      <alignment horizontal="left"/>
    </xf>
    <xf numFmtId="164" fontId="80" fillId="2" borderId="20" xfId="0" quotePrefix="1" applyFont="1" applyFill="1" applyBorder="1" applyAlignment="1">
      <alignment horizontal="left"/>
    </xf>
    <xf numFmtId="164" fontId="80" fillId="2" borderId="27" xfId="0" applyFont="1" applyFill="1" applyBorder="1" applyAlignment="1" applyProtection="1">
      <alignment horizontal="right"/>
      <protection locked="0"/>
    </xf>
    <xf numFmtId="165" fontId="80" fillId="2" borderId="0" xfId="0" quotePrefix="1" applyNumberFormat="1" applyFont="1" applyFill="1" applyAlignment="1">
      <alignment horizontal="center"/>
    </xf>
    <xf numFmtId="164" fontId="51" fillId="0" borderId="18" xfId="0" applyFont="1" applyBorder="1" applyAlignment="1">
      <alignment horizontal="right"/>
    </xf>
    <xf numFmtId="164" fontId="47" fillId="35" borderId="0" xfId="0" applyFont="1" applyFill="1"/>
    <xf numFmtId="164" fontId="79" fillId="35" borderId="0" xfId="0" applyFont="1" applyFill="1"/>
    <xf numFmtId="164" fontId="79" fillId="35" borderId="0" xfId="0" applyFont="1" applyFill="1" applyAlignment="1">
      <alignment horizontal="left"/>
    </xf>
    <xf numFmtId="164" fontId="48" fillId="3" borderId="0" xfId="0" applyFont="1" applyFill="1"/>
    <xf numFmtId="164" fontId="49" fillId="3" borderId="0" xfId="0" applyFont="1" applyFill="1"/>
    <xf numFmtId="168" fontId="51" fillId="3" borderId="0" xfId="1" applyNumberFormat="1" applyFont="1" applyFill="1"/>
    <xf numFmtId="164" fontId="0" fillId="0" borderId="0" xfId="0" applyAlignment="1">
      <alignment horizontal="center"/>
    </xf>
    <xf numFmtId="164" fontId="14" fillId="0" borderId="0" xfId="0" applyFont="1"/>
    <xf numFmtId="164" fontId="15" fillId="0" borderId="0" xfId="0" applyFont="1" applyAlignment="1">
      <alignment horizontal="centerContinuous"/>
    </xf>
    <xf numFmtId="164" fontId="0" fillId="0" borderId="0" xfId="0" quotePrefix="1" applyAlignment="1">
      <alignment horizontal="right"/>
    </xf>
    <xf numFmtId="164" fontId="37" fillId="0" borderId="0" xfId="0" applyFont="1" applyAlignment="1">
      <alignment horizontal="centerContinuous"/>
    </xf>
    <xf numFmtId="164" fontId="15" fillId="0" borderId="0" xfId="0" applyFont="1" applyAlignment="1">
      <alignment horizontal="right"/>
    </xf>
    <xf numFmtId="164" fontId="0" fillId="0" borderId="0" xfId="0" applyAlignment="1">
      <alignment horizontal="centerContinuous"/>
    </xf>
    <xf numFmtId="164" fontId="0" fillId="0" borderId="0" xfId="0" quotePrefix="1" applyAlignment="1">
      <alignment horizontal="left"/>
    </xf>
    <xf numFmtId="37" fontId="0" fillId="0" borderId="0" xfId="0" applyNumberFormat="1"/>
    <xf numFmtId="37" fontId="83" fillId="0" borderId="0" xfId="0" applyNumberFormat="1" applyFont="1" applyAlignment="1">
      <alignment horizontal="left"/>
    </xf>
    <xf numFmtId="1" fontId="0" fillId="0" borderId="0" xfId="1" quotePrefix="1" applyNumberFormat="1" applyFont="1" applyAlignment="1" applyProtection="1">
      <alignment horizontal="left"/>
    </xf>
    <xf numFmtId="164" fontId="15" fillId="0" borderId="0" xfId="0" applyFont="1"/>
    <xf numFmtId="37" fontId="0" fillId="0" borderId="0" xfId="0" applyNumberFormat="1" applyAlignment="1">
      <alignment horizontal="left"/>
    </xf>
    <xf numFmtId="37" fontId="15" fillId="0" borderId="0" xfId="0" applyNumberFormat="1" applyFont="1"/>
    <xf numFmtId="37" fontId="83" fillId="0" borderId="0" xfId="0" applyNumberFormat="1" applyFont="1" applyAlignment="1">
      <alignment horizontal="center"/>
    </xf>
    <xf numFmtId="164" fontId="83" fillId="0" borderId="0" xfId="0" applyFont="1" applyAlignment="1">
      <alignment horizontal="center"/>
    </xf>
    <xf numFmtId="37" fontId="15" fillId="0" borderId="0" xfId="0" applyNumberFormat="1" applyFont="1" applyAlignment="1">
      <alignment horizontal="left"/>
    </xf>
    <xf numFmtId="166" fontId="84" fillId="0" borderId="0" xfId="0" applyNumberFormat="1" applyFont="1"/>
    <xf numFmtId="164" fontId="36" fillId="0" borderId="0" xfId="0" quotePrefix="1" applyFont="1" applyAlignment="1">
      <alignment horizontal="right"/>
    </xf>
    <xf numFmtId="168" fontId="0" fillId="0" borderId="0" xfId="1" applyNumberFormat="1" applyFont="1" applyAlignment="1" applyProtection="1">
      <alignment horizontal="left"/>
    </xf>
    <xf numFmtId="164" fontId="64" fillId="0" borderId="0" xfId="0" applyFont="1" applyAlignment="1">
      <alignment horizontal="centerContinuous"/>
    </xf>
    <xf numFmtId="164" fontId="35" fillId="0" borderId="0" xfId="0" applyFont="1" applyAlignment="1">
      <alignment horizontal="centerContinuous"/>
    </xf>
    <xf numFmtId="166" fontId="34" fillId="2" borderId="0" xfId="0" applyNumberFormat="1" applyFont="1" applyFill="1" applyAlignment="1">
      <alignment horizontal="center"/>
    </xf>
    <xf numFmtId="0" fontId="34" fillId="0" borderId="0" xfId="71" quotePrefix="1" applyFont="1" applyAlignment="1">
      <alignment horizontal="left"/>
    </xf>
    <xf numFmtId="0" fontId="66" fillId="0" borderId="0" xfId="71" applyFont="1" applyAlignment="1">
      <alignment horizontal="right"/>
    </xf>
    <xf numFmtId="14" fontId="66" fillId="0" borderId="0" xfId="71" quotePrefix="1" applyNumberFormat="1" applyFont="1" applyAlignment="1">
      <alignment horizontal="right"/>
    </xf>
    <xf numFmtId="0" fontId="35" fillId="0" borderId="0" xfId="71" applyFont="1"/>
    <xf numFmtId="0" fontId="35" fillId="0" borderId="0" xfId="71" applyFont="1" applyAlignment="1">
      <alignment horizontal="right"/>
    </xf>
    <xf numFmtId="0" fontId="11" fillId="0" borderId="0" xfId="71" applyAlignment="1">
      <alignment horizontal="centerContinuous"/>
    </xf>
    <xf numFmtId="0" fontId="64" fillId="0" borderId="0" xfId="71" applyFont="1" applyAlignment="1">
      <alignment horizontal="centerContinuous"/>
    </xf>
    <xf numFmtId="0" fontId="91" fillId="0" borderId="0" xfId="71" applyFont="1" applyAlignment="1">
      <alignment horizontal="centerContinuous"/>
    </xf>
    <xf numFmtId="0" fontId="92" fillId="0" borderId="0" xfId="71" applyFont="1" applyAlignment="1">
      <alignment horizontal="centerContinuous"/>
    </xf>
    <xf numFmtId="0" fontId="35" fillId="0" borderId="6" xfId="71" applyFont="1" applyBorder="1" applyAlignment="1">
      <alignment horizontal="centerContinuous"/>
    </xf>
    <xf numFmtId="0" fontId="14" fillId="0" borderId="0" xfId="71" applyFont="1"/>
    <xf numFmtId="0" fontId="35" fillId="0" borderId="0" xfId="71" quotePrefix="1" applyFont="1" applyAlignment="1">
      <alignment horizontal="center"/>
    </xf>
    <xf numFmtId="0" fontId="35" fillId="0" borderId="0" xfId="71" applyFont="1" applyAlignment="1">
      <alignment horizontal="center"/>
    </xf>
    <xf numFmtId="168" fontId="44" fillId="0" borderId="0" xfId="1" applyNumberFormat="1" applyFont="1"/>
    <xf numFmtId="168" fontId="11" fillId="0" borderId="0" xfId="71" applyNumberFormat="1"/>
    <xf numFmtId="0" fontId="92" fillId="0" borderId="0" xfId="71" applyFont="1"/>
    <xf numFmtId="171" fontId="11" fillId="0" borderId="0" xfId="71" applyNumberFormat="1"/>
    <xf numFmtId="43" fontId="11" fillId="0" borderId="0" xfId="71" applyNumberFormat="1"/>
    <xf numFmtId="0" fontId="92" fillId="0" borderId="6" xfId="71" applyFont="1" applyBorder="1"/>
    <xf numFmtId="0" fontId="92" fillId="0" borderId="6" xfId="71" quotePrefix="1" applyFont="1" applyBorder="1" applyAlignment="1">
      <alignment horizontal="center"/>
    </xf>
    <xf numFmtId="0" fontId="92" fillId="0" borderId="0" xfId="71" quotePrefix="1" applyFont="1" applyAlignment="1">
      <alignment horizontal="center"/>
    </xf>
    <xf numFmtId="3" fontId="34" fillId="0" borderId="0" xfId="1" applyNumberFormat="1" applyFont="1" applyAlignment="1">
      <alignment horizontal="center"/>
    </xf>
    <xf numFmtId="3" fontId="11" fillId="0" borderId="0" xfId="71" applyNumberFormat="1"/>
    <xf numFmtId="43" fontId="11" fillId="0" borderId="0" xfId="1" applyFont="1"/>
    <xf numFmtId="0" fontId="35" fillId="0" borderId="52" xfId="71" applyFont="1" applyBorder="1"/>
    <xf numFmtId="0" fontId="11" fillId="0" borderId="52" xfId="71" applyBorder="1"/>
    <xf numFmtId="168" fontId="92" fillId="0" borderId="0" xfId="1" applyNumberFormat="1" applyFont="1"/>
    <xf numFmtId="3" fontId="34" fillId="0" borderId="0" xfId="1" applyNumberFormat="1" applyFont="1" applyFill="1" applyAlignment="1">
      <alignment horizontal="center"/>
    </xf>
    <xf numFmtId="0" fontId="92" fillId="0" borderId="0" xfId="71" applyFont="1" applyAlignment="1">
      <alignment horizontal="center"/>
    </xf>
    <xf numFmtId="166" fontId="34" fillId="0" borderId="0" xfId="71" applyNumberFormat="1" applyFont="1" applyAlignment="1">
      <alignment horizontal="center"/>
    </xf>
    <xf numFmtId="171" fontId="11" fillId="0" borderId="0" xfId="1" applyNumberFormat="1" applyFont="1"/>
    <xf numFmtId="181" fontId="11" fillId="0" borderId="0" xfId="71" applyNumberFormat="1"/>
    <xf numFmtId="164" fontId="51" fillId="0" borderId="18" xfId="0" applyFont="1" applyBorder="1"/>
    <xf numFmtId="164" fontId="11" fillId="0" borderId="0" xfId="50" applyNumberFormat="1"/>
    <xf numFmtId="164" fontId="73" fillId="35" borderId="0" xfId="0" applyFont="1" applyFill="1"/>
    <xf numFmtId="164" fontId="0" fillId="35" borderId="0" xfId="0" applyFill="1" applyAlignment="1">
      <alignment horizontal="right"/>
    </xf>
    <xf numFmtId="164" fontId="0" fillId="35" borderId="0" xfId="0" applyFill="1" applyAlignment="1">
      <alignment horizontal="center"/>
    </xf>
    <xf numFmtId="164" fontId="0" fillId="35" borderId="0" xfId="0" applyFill="1" applyAlignment="1">
      <alignment horizontal="left"/>
    </xf>
    <xf numFmtId="37" fontId="17" fillId="35" borderId="0" xfId="0" applyNumberFormat="1" applyFont="1" applyFill="1"/>
    <xf numFmtId="164" fontId="0" fillId="35" borderId="0" xfId="0" quotePrefix="1" applyFill="1"/>
    <xf numFmtId="169" fontId="48" fillId="0" borderId="0" xfId="1" applyNumberFormat="1" applyFont="1"/>
    <xf numFmtId="43" fontId="48" fillId="0" borderId="0" xfId="1" applyFont="1" applyFill="1"/>
    <xf numFmtId="2" fontId="102" fillId="0" borderId="21" xfId="45" applyNumberFormat="1" applyFont="1" applyBorder="1"/>
    <xf numFmtId="2" fontId="102" fillId="0" borderId="19" xfId="45" applyNumberFormat="1" applyFont="1" applyBorder="1"/>
    <xf numFmtId="2" fontId="102" fillId="0" borderId="22" xfId="45" applyNumberFormat="1" applyFont="1" applyBorder="1"/>
    <xf numFmtId="2" fontId="102" fillId="0" borderId="25" xfId="45" applyNumberFormat="1" applyFont="1" applyBorder="1"/>
    <xf numFmtId="2" fontId="102" fillId="0" borderId="0" xfId="45" applyNumberFormat="1" applyFont="1"/>
    <xf numFmtId="2" fontId="102" fillId="0" borderId="8" xfId="45" applyNumberFormat="1" applyFont="1" applyBorder="1"/>
    <xf numFmtId="43" fontId="51" fillId="0" borderId="0" xfId="1" applyFont="1"/>
    <xf numFmtId="43" fontId="48" fillId="0" borderId="0" xfId="1" applyFont="1"/>
    <xf numFmtId="164" fontId="53" fillId="0" borderId="29" xfId="0" applyFont="1" applyBorder="1" applyAlignment="1">
      <alignment horizontal="center"/>
    </xf>
    <xf numFmtId="169" fontId="53" fillId="0" borderId="6" xfId="1" applyNumberFormat="1" applyFont="1" applyBorder="1"/>
    <xf numFmtId="169" fontId="53" fillId="0" borderId="24" xfId="1" applyNumberFormat="1" applyFont="1" applyBorder="1"/>
    <xf numFmtId="0" fontId="2" fillId="0" borderId="0" xfId="166"/>
    <xf numFmtId="171" fontId="30" fillId="0" borderId="0" xfId="166" applyNumberFormat="1" applyFont="1"/>
    <xf numFmtId="0" fontId="2" fillId="57" borderId="0" xfId="166" applyFill="1"/>
    <xf numFmtId="0" fontId="2" fillId="0" borderId="18" xfId="166" applyBorder="1"/>
    <xf numFmtId="0" fontId="30" fillId="0" borderId="0" xfId="166" applyFont="1"/>
    <xf numFmtId="0" fontId="2" fillId="0" borderId="29" xfId="166" applyBorder="1"/>
    <xf numFmtId="0" fontId="2" fillId="57" borderId="58" xfId="166" applyFill="1" applyBorder="1" applyAlignment="1">
      <alignment horizontal="centerContinuous"/>
    </xf>
    <xf numFmtId="0" fontId="2" fillId="57" borderId="59" xfId="166" applyFill="1" applyBorder="1" applyAlignment="1">
      <alignment horizontal="centerContinuous"/>
    </xf>
    <xf numFmtId="0" fontId="59" fillId="57" borderId="60" xfId="166" applyFont="1" applyFill="1" applyBorder="1" applyAlignment="1">
      <alignment horizontal="centerContinuous"/>
    </xf>
    <xf numFmtId="171" fontId="30" fillId="0" borderId="18" xfId="166" applyNumberFormat="1" applyFont="1" applyBorder="1"/>
    <xf numFmtId="175" fontId="104" fillId="0" borderId="61" xfId="103" applyNumberFormat="1" applyFont="1" applyBorder="1" applyAlignment="1">
      <alignment horizontal="center"/>
    </xf>
    <xf numFmtId="175" fontId="104" fillId="0" borderId="52" xfId="103" applyNumberFormat="1" applyFont="1" applyBorder="1" applyAlignment="1">
      <alignment horizontal="center"/>
    </xf>
    <xf numFmtId="0" fontId="104" fillId="0" borderId="62" xfId="103" applyFont="1" applyBorder="1" applyAlignment="1">
      <alignment horizontal="center"/>
    </xf>
    <xf numFmtId="175" fontId="104" fillId="0" borderId="8" xfId="103" applyNumberFormat="1" applyFont="1" applyBorder="1" applyAlignment="1">
      <alignment horizontal="center"/>
    </xf>
    <xf numFmtId="175" fontId="104" fillId="0" borderId="0" xfId="103" applyNumberFormat="1" applyFont="1" applyAlignment="1">
      <alignment horizontal="center"/>
    </xf>
    <xf numFmtId="0" fontId="105" fillId="0" borderId="61" xfId="103" applyFont="1" applyBorder="1" applyAlignment="1">
      <alignment horizontal="center"/>
    </xf>
    <xf numFmtId="0" fontId="105" fillId="0" borderId="52" xfId="103" applyFont="1" applyBorder="1" applyAlignment="1">
      <alignment horizontal="center"/>
    </xf>
    <xf numFmtId="0" fontId="105" fillId="0" borderId="63" xfId="103" applyFont="1" applyBorder="1" applyAlignment="1">
      <alignment horizontal="center"/>
    </xf>
    <xf numFmtId="0" fontId="59" fillId="0" borderId="0" xfId="166" applyFont="1"/>
    <xf numFmtId="0" fontId="90" fillId="0" borderId="64" xfId="103" applyFont="1" applyBorder="1" applyAlignment="1">
      <alignment horizontal="centerContinuous"/>
    </xf>
    <xf numFmtId="0" fontId="90" fillId="0" borderId="65" xfId="103" applyFont="1" applyBorder="1" applyAlignment="1">
      <alignment horizontal="centerContinuous"/>
    </xf>
    <xf numFmtId="0" fontId="106" fillId="0" borderId="65" xfId="103" applyFont="1" applyBorder="1" applyAlignment="1">
      <alignment horizontal="centerContinuous"/>
    </xf>
    <xf numFmtId="0" fontId="107" fillId="0" borderId="66" xfId="103" applyFont="1" applyBorder="1" applyAlignment="1">
      <alignment horizontal="center"/>
    </xf>
    <xf numFmtId="0" fontId="108" fillId="0" borderId="0" xfId="167" applyFont="1" applyAlignment="1">
      <alignment horizontal="center"/>
    </xf>
    <xf numFmtId="171" fontId="30" fillId="0" borderId="18" xfId="168" applyNumberFormat="1" applyFont="1" applyBorder="1"/>
    <xf numFmtId="173" fontId="109" fillId="0" borderId="0" xfId="167" applyNumberFormat="1" applyFont="1" applyAlignment="1">
      <alignment horizontal="center"/>
    </xf>
    <xf numFmtId="173" fontId="110" fillId="57" borderId="0" xfId="167" applyNumberFormat="1" applyFont="1" applyFill="1" applyAlignment="1">
      <alignment horizontal="center"/>
    </xf>
    <xf numFmtId="173" fontId="111" fillId="0" borderId="0" xfId="167" applyNumberFormat="1" applyFont="1" applyAlignment="1">
      <alignment horizontal="center"/>
    </xf>
    <xf numFmtId="0" fontId="81" fillId="0" borderId="0" xfId="167" applyFont="1" applyAlignment="1">
      <alignment horizontal="center"/>
    </xf>
    <xf numFmtId="173" fontId="30" fillId="0" borderId="0" xfId="166" applyNumberFormat="1" applyFont="1"/>
    <xf numFmtId="0" fontId="80" fillId="0" borderId="0" xfId="167" applyFont="1" applyAlignment="1">
      <alignment horizontal="center"/>
    </xf>
    <xf numFmtId="171" fontId="30" fillId="0" borderId="0" xfId="168" applyNumberFormat="1" applyFont="1"/>
    <xf numFmtId="0" fontId="81" fillId="0" borderId="0" xfId="167" quotePrefix="1" applyFont="1" applyAlignment="1">
      <alignment horizontal="center"/>
    </xf>
    <xf numFmtId="173" fontId="110" fillId="0" borderId="0" xfId="167" applyNumberFormat="1" applyFont="1" applyAlignment="1">
      <alignment horizontal="center"/>
    </xf>
    <xf numFmtId="16" fontId="81" fillId="0" borderId="0" xfId="167" applyNumberFormat="1" applyFont="1" applyAlignment="1">
      <alignment horizontal="center"/>
    </xf>
    <xf numFmtId="0" fontId="80" fillId="57" borderId="0" xfId="167" applyFont="1" applyFill="1" applyAlignment="1">
      <alignment horizontal="center"/>
    </xf>
    <xf numFmtId="0" fontId="112" fillId="0" borderId="0" xfId="167" applyFont="1" applyAlignment="1">
      <alignment horizontal="center"/>
    </xf>
    <xf numFmtId="0" fontId="112" fillId="57" borderId="0" xfId="167" applyFont="1" applyFill="1" applyAlignment="1">
      <alignment horizontal="center"/>
    </xf>
    <xf numFmtId="0" fontId="81" fillId="57" borderId="0" xfId="167" applyFont="1" applyFill="1" applyAlignment="1">
      <alignment horizontal="center"/>
    </xf>
    <xf numFmtId="0" fontId="32" fillId="0" borderId="0" xfId="166" applyFont="1"/>
    <xf numFmtId="164" fontId="30" fillId="0" borderId="0" xfId="0" applyFont="1"/>
    <xf numFmtId="171" fontId="52" fillId="0" borderId="0" xfId="1" applyNumberFormat="1" applyFont="1" applyFill="1" applyBorder="1"/>
    <xf numFmtId="164" fontId="30" fillId="0" borderId="0" xfId="0" applyFont="1" applyAlignment="1">
      <alignment horizontal="center"/>
    </xf>
    <xf numFmtId="167" fontId="52" fillId="0" borderId="0" xfId="0" applyNumberFormat="1" applyFont="1" applyAlignment="1" applyProtection="1">
      <alignment horizontal="center"/>
      <protection locked="0"/>
    </xf>
    <xf numFmtId="164" fontId="56" fillId="0" borderId="0" xfId="0" applyFont="1" applyAlignment="1">
      <alignment horizontal="right"/>
    </xf>
    <xf numFmtId="164" fontId="56" fillId="0" borderId="0" xfId="0" applyFont="1" applyAlignment="1">
      <alignment horizontal="center"/>
    </xf>
    <xf numFmtId="164" fontId="56" fillId="0" borderId="0" xfId="0" applyFont="1" applyAlignment="1">
      <alignment horizontal="left"/>
    </xf>
    <xf numFmtId="171" fontId="53" fillId="0" borderId="0" xfId="1" applyNumberFormat="1" applyFont="1" applyFill="1" applyBorder="1"/>
    <xf numFmtId="164" fontId="53" fillId="58" borderId="0" xfId="0" applyFont="1" applyFill="1"/>
    <xf numFmtId="164" fontId="56" fillId="58" borderId="0" xfId="0" applyFont="1" applyFill="1"/>
    <xf numFmtId="164" fontId="11" fillId="0" borderId="0" xfId="0" quotePrefix="1" applyFont="1" applyAlignment="1">
      <alignment horizontal="left"/>
    </xf>
    <xf numFmtId="164" fontId="11" fillId="0" borderId="0" xfId="0" quotePrefix="1" applyFont="1"/>
    <xf numFmtId="164" fontId="11" fillId="0" borderId="0" xfId="0" applyFont="1" applyAlignment="1">
      <alignment horizontal="left"/>
    </xf>
    <xf numFmtId="166" fontId="34" fillId="0" borderId="0" xfId="0" applyNumberFormat="1" applyFont="1" applyAlignment="1">
      <alignment horizontal="center"/>
    </xf>
    <xf numFmtId="166" fontId="11" fillId="0" borderId="0" xfId="0" applyNumberFormat="1" applyFont="1" applyAlignment="1">
      <alignment horizontal="center"/>
    </xf>
    <xf numFmtId="175" fontId="34" fillId="0" borderId="0" xfId="0" applyNumberFormat="1" applyFont="1" applyAlignment="1">
      <alignment horizontal="center"/>
    </xf>
    <xf numFmtId="175" fontId="11" fillId="0" borderId="0" xfId="0" applyNumberFormat="1" applyFont="1" applyAlignment="1">
      <alignment horizontal="center"/>
    </xf>
    <xf numFmtId="173" fontId="89" fillId="0" borderId="0" xfId="0" applyNumberFormat="1" applyFont="1"/>
    <xf numFmtId="37" fontId="44" fillId="35" borderId="0" xfId="0" applyNumberFormat="1" applyFont="1" applyFill="1"/>
    <xf numFmtId="164" fontId="49" fillId="0" borderId="25" xfId="0" applyFont="1" applyBorder="1"/>
    <xf numFmtId="171" fontId="51" fillId="0" borderId="22" xfId="1" applyNumberFormat="1" applyFont="1" applyFill="1" applyBorder="1"/>
    <xf numFmtId="169" fontId="51" fillId="0" borderId="22" xfId="1" applyNumberFormat="1" applyFont="1" applyFill="1" applyBorder="1"/>
    <xf numFmtId="169" fontId="51" fillId="0" borderId="19" xfId="1" applyNumberFormat="1" applyFont="1" applyFill="1" applyBorder="1"/>
    <xf numFmtId="168" fontId="51" fillId="0" borderId="21" xfId="1" applyNumberFormat="1" applyFont="1" applyFill="1" applyBorder="1"/>
    <xf numFmtId="168" fontId="51" fillId="0" borderId="19" xfId="1" applyNumberFormat="1" applyFont="1" applyFill="1" applyBorder="1"/>
    <xf numFmtId="168" fontId="51" fillId="0" borderId="22" xfId="1" applyNumberFormat="1" applyFont="1" applyFill="1" applyBorder="1"/>
    <xf numFmtId="37" fontId="51" fillId="0" borderId="28" xfId="1" applyNumberFormat="1" applyFont="1" applyFill="1" applyBorder="1"/>
    <xf numFmtId="171" fontId="51" fillId="0" borderId="24" xfId="1" applyNumberFormat="1" applyFont="1" applyFill="1" applyBorder="1"/>
    <xf numFmtId="169" fontId="51" fillId="0" borderId="24" xfId="1" applyNumberFormat="1" applyFont="1" applyFill="1" applyBorder="1"/>
    <xf numFmtId="169" fontId="51" fillId="0" borderId="6" xfId="1" applyNumberFormat="1" applyFont="1" applyFill="1" applyBorder="1"/>
    <xf numFmtId="169" fontId="51" fillId="0" borderId="24" xfId="0" applyNumberFormat="1" applyFont="1" applyBorder="1"/>
    <xf numFmtId="168" fontId="51" fillId="0" borderId="23" xfId="1" applyNumberFormat="1" applyFont="1" applyFill="1" applyBorder="1"/>
    <xf numFmtId="168" fontId="51" fillId="0" borderId="6" xfId="1" applyNumberFormat="1" applyFont="1" applyFill="1" applyBorder="1"/>
    <xf numFmtId="168" fontId="51" fillId="0" borderId="24" xfId="1" applyNumberFormat="1" applyFont="1" applyFill="1" applyBorder="1"/>
    <xf numFmtId="37" fontId="51" fillId="0" borderId="29" xfId="1" applyNumberFormat="1" applyFont="1" applyFill="1" applyBorder="1"/>
    <xf numFmtId="2" fontId="102" fillId="0" borderId="23" xfId="45" applyNumberFormat="1" applyFont="1" applyBorder="1"/>
    <xf numFmtId="2" fontId="102" fillId="0" borderId="6" xfId="45" applyNumberFormat="1" applyFont="1" applyBorder="1"/>
    <xf numFmtId="2" fontId="102" fillId="0" borderId="24" xfId="45" applyNumberFormat="1" applyFont="1" applyBorder="1"/>
    <xf numFmtId="164" fontId="51" fillId="0" borderId="27" xfId="0" applyFont="1" applyBorder="1"/>
    <xf numFmtId="164" fontId="51" fillId="0" borderId="0" xfId="0" applyFont="1" applyAlignment="1">
      <alignment horizontal="right"/>
    </xf>
    <xf numFmtId="164" fontId="70" fillId="0" borderId="28" xfId="0" applyFont="1" applyBorder="1"/>
    <xf numFmtId="166" fontId="72" fillId="0" borderId="28" xfId="0" applyNumberFormat="1" applyFont="1" applyBorder="1" applyProtection="1">
      <protection locked="0"/>
    </xf>
    <xf numFmtId="173" fontId="78" fillId="0" borderId="0" xfId="0" applyNumberFormat="1" applyFont="1"/>
    <xf numFmtId="166" fontId="72" fillId="0" borderId="0" xfId="0" applyNumberFormat="1" applyFont="1" applyProtection="1">
      <protection locked="0"/>
    </xf>
    <xf numFmtId="164" fontId="11" fillId="2" borderId="0" xfId="0" quotePrefix="1" applyFont="1" applyFill="1" applyAlignment="1" applyProtection="1">
      <alignment horizontal="right"/>
      <protection locked="0"/>
    </xf>
    <xf numFmtId="164" fontId="80" fillId="0" borderId="0" xfId="0" quotePrefix="1" applyFont="1"/>
    <xf numFmtId="164" fontId="80" fillId="0" borderId="0" xfId="0" applyFont="1" applyAlignment="1">
      <alignment horizontal="left"/>
    </xf>
    <xf numFmtId="164" fontId="49" fillId="0" borderId="18" xfId="0" applyFont="1" applyBorder="1" applyAlignment="1">
      <alignment horizontal="centerContinuous"/>
    </xf>
    <xf numFmtId="164" fontId="48" fillId="0" borderId="26" xfId="0" applyFont="1" applyBorder="1" applyAlignment="1">
      <alignment horizontal="centerContinuous"/>
    </xf>
    <xf numFmtId="168" fontId="51" fillId="0" borderId="19" xfId="1" applyNumberFormat="1" applyFont="1" applyBorder="1"/>
    <xf numFmtId="168" fontId="51" fillId="0" borderId="22" xfId="1" applyNumberFormat="1" applyFont="1" applyBorder="1"/>
    <xf numFmtId="168" fontId="51" fillId="0" borderId="21" xfId="1" applyNumberFormat="1" applyFont="1" applyBorder="1"/>
    <xf numFmtId="164" fontId="49" fillId="0" borderId="68" xfId="0" applyFont="1" applyBorder="1" applyAlignment="1">
      <alignment horizontal="centerContinuous"/>
    </xf>
    <xf numFmtId="164" fontId="48" fillId="0" borderId="69" xfId="0" applyFont="1" applyBorder="1" applyAlignment="1">
      <alignment horizontal="centerContinuous"/>
    </xf>
    <xf numFmtId="164" fontId="48" fillId="0" borderId="68" xfId="0" applyFont="1" applyBorder="1" applyAlignment="1">
      <alignment horizontal="center"/>
    </xf>
    <xf numFmtId="168" fontId="51" fillId="0" borderId="67" xfId="1" applyNumberFormat="1" applyFont="1" applyBorder="1"/>
    <xf numFmtId="168" fontId="51" fillId="0" borderId="70" xfId="1" applyNumberFormat="1" applyFont="1" applyBorder="1"/>
    <xf numFmtId="37" fontId="115" fillId="0" borderId="0" xfId="0" applyNumberFormat="1" applyFont="1"/>
    <xf numFmtId="164" fontId="17" fillId="0" borderId="0" xfId="0" applyFont="1" applyAlignment="1">
      <alignment horizontal="right"/>
    </xf>
    <xf numFmtId="37" fontId="17" fillId="0" borderId="0" xfId="0" applyNumberFormat="1" applyFont="1"/>
    <xf numFmtId="164" fontId="115" fillId="0" borderId="0" xfId="0" applyFont="1"/>
    <xf numFmtId="37" fontId="17" fillId="0" borderId="0" xfId="0" applyNumberFormat="1" applyFont="1" applyAlignment="1">
      <alignment horizontal="right"/>
    </xf>
    <xf numFmtId="166" fontId="115" fillId="0" borderId="0" xfId="0" applyNumberFormat="1" applyFont="1"/>
    <xf numFmtId="168" fontId="34" fillId="0" borderId="0" xfId="71" applyNumberFormat="1" applyFont="1"/>
    <xf numFmtId="164" fontId="103" fillId="0" borderId="0" xfId="0" quotePrefix="1" applyFont="1" applyAlignment="1" applyProtection="1">
      <alignment horizontal="left"/>
      <protection locked="0"/>
    </xf>
    <xf numFmtId="164" fontId="103" fillId="0" borderId="0" xfId="0" quotePrefix="1" applyFont="1" applyAlignment="1" applyProtection="1">
      <alignment horizontal="right"/>
      <protection locked="0"/>
    </xf>
    <xf numFmtId="164" fontId="11" fillId="0" borderId="0" xfId="0" quotePrefix="1" applyFont="1" applyAlignment="1" applyProtection="1">
      <alignment horizontal="left"/>
      <protection locked="0"/>
    </xf>
    <xf numFmtId="164" fontId="11" fillId="0" borderId="0" xfId="0" applyFont="1" applyAlignment="1">
      <alignment horizontal="right"/>
    </xf>
    <xf numFmtId="164" fontId="44" fillId="0" borderId="0" xfId="0" quotePrefix="1" applyFont="1" applyAlignment="1" applyProtection="1">
      <alignment horizontal="left"/>
      <protection locked="0"/>
    </xf>
    <xf numFmtId="164" fontId="11" fillId="0" borderId="0" xfId="0" applyFont="1" applyAlignment="1" applyProtection="1">
      <alignment horizontal="left"/>
      <protection locked="0"/>
    </xf>
    <xf numFmtId="164" fontId="11" fillId="0" borderId="0" xfId="0" quotePrefix="1" applyFont="1" applyAlignment="1">
      <alignment horizontal="right"/>
    </xf>
    <xf numFmtId="164" fontId="11" fillId="0" borderId="0" xfId="0" applyFont="1" applyProtection="1">
      <protection locked="0"/>
    </xf>
    <xf numFmtId="164" fontId="40" fillId="0" borderId="0" xfId="0" quotePrefix="1" applyFont="1" applyAlignment="1">
      <alignment horizontal="centerContinuous"/>
    </xf>
    <xf numFmtId="164" fontId="88" fillId="0" borderId="0" xfId="0" applyFont="1"/>
    <xf numFmtId="164" fontId="35" fillId="0" borderId="0" xfId="0" quotePrefix="1" applyFont="1" applyAlignment="1">
      <alignment horizontal="centerContinuous"/>
    </xf>
    <xf numFmtId="164" fontId="40" fillId="0" borderId="0" xfId="0" applyFont="1" applyAlignment="1">
      <alignment horizontal="centerContinuous"/>
    </xf>
    <xf numFmtId="164" fontId="40" fillId="0" borderId="0" xfId="0" applyFont="1"/>
    <xf numFmtId="164" fontId="11" fillId="0" borderId="0" xfId="0" quotePrefix="1" applyFont="1" applyAlignment="1">
      <alignment horizontal="center"/>
    </xf>
    <xf numFmtId="164" fontId="11" fillId="0" borderId="6" xfId="0" quotePrefix="1" applyFont="1" applyBorder="1" applyAlignment="1">
      <alignment horizontal="centerContinuous"/>
    </xf>
    <xf numFmtId="164" fontId="11" fillId="0" borderId="6" xfId="0" applyFont="1" applyBorder="1" applyAlignment="1">
      <alignment horizontal="centerContinuous"/>
    </xf>
    <xf numFmtId="176" fontId="11" fillId="0" borderId="0" xfId="1" applyNumberFormat="1" applyFont="1" applyFill="1"/>
    <xf numFmtId="171" fontId="11" fillId="0" borderId="0" xfId="1" applyNumberFormat="1" applyFont="1" applyFill="1"/>
    <xf numFmtId="164" fontId="44" fillId="0" borderId="0" xfId="0" applyFont="1" applyAlignment="1" applyProtection="1">
      <alignment horizontal="left"/>
      <protection locked="0"/>
    </xf>
    <xf numFmtId="37" fontId="44" fillId="0" borderId="0" xfId="0" applyNumberFormat="1" applyFont="1" applyAlignment="1" applyProtection="1">
      <alignment horizontal="center"/>
      <protection locked="0"/>
    </xf>
    <xf numFmtId="37" fontId="34" fillId="0" borderId="0" xfId="0" applyNumberFormat="1" applyFont="1" applyAlignment="1">
      <alignment horizontal="center"/>
    </xf>
    <xf numFmtId="164" fontId="35" fillId="0" borderId="26" xfId="0" applyFont="1" applyBorder="1"/>
    <xf numFmtId="164" fontId="11" fillId="0" borderId="20" xfId="0" applyFont="1" applyBorder="1"/>
    <xf numFmtId="164" fontId="11" fillId="0" borderId="27" xfId="0" applyFont="1" applyBorder="1"/>
    <xf numFmtId="164" fontId="34" fillId="0" borderId="0" xfId="0" applyFont="1" applyAlignment="1" applyProtection="1">
      <alignment horizontal="left"/>
      <protection locked="0"/>
    </xf>
    <xf numFmtId="37" fontId="103" fillId="0" borderId="0" xfId="0" applyNumberFormat="1" applyFont="1" applyAlignment="1" applyProtection="1">
      <alignment horizontal="center"/>
      <protection locked="0"/>
    </xf>
    <xf numFmtId="164" fontId="103" fillId="0" borderId="0" xfId="0" applyFont="1" applyAlignment="1" applyProtection="1">
      <alignment horizontal="center"/>
      <protection locked="0"/>
    </xf>
    <xf numFmtId="164" fontId="41" fillId="0" borderId="0" xfId="0" quotePrefix="1" applyFont="1" applyAlignment="1">
      <alignment horizontal="left"/>
    </xf>
    <xf numFmtId="164" fontId="41" fillId="0" borderId="0" xfId="0" applyFont="1"/>
    <xf numFmtId="9" fontId="11" fillId="0" borderId="0" xfId="0" applyNumberFormat="1" applyFont="1"/>
    <xf numFmtId="166" fontId="88" fillId="0" borderId="0" xfId="0" applyNumberFormat="1" applyFont="1" applyAlignment="1">
      <alignment horizontal="center"/>
    </xf>
    <xf numFmtId="164" fontId="11" fillId="0" borderId="6" xfId="0" applyFont="1" applyBorder="1"/>
    <xf numFmtId="164" fontId="88" fillId="0" borderId="0" xfId="0" applyFont="1" applyAlignment="1">
      <alignment horizontal="center"/>
    </xf>
    <xf numFmtId="164" fontId="11" fillId="0" borderId="19" xfId="0" applyFont="1" applyBorder="1"/>
    <xf numFmtId="166" fontId="103" fillId="0" borderId="0" xfId="0" applyNumberFormat="1" applyFont="1"/>
    <xf numFmtId="164" fontId="34" fillId="0" borderId="0" xfId="0" applyFont="1" applyAlignment="1">
      <alignment horizontal="center"/>
    </xf>
    <xf numFmtId="170" fontId="34" fillId="0" borderId="0" xfId="0" applyNumberFormat="1" applyFont="1" applyAlignment="1">
      <alignment horizontal="center"/>
    </xf>
    <xf numFmtId="37" fontId="11" fillId="0" borderId="0" xfId="0" applyNumberFormat="1" applyFont="1"/>
    <xf numFmtId="164" fontId="34" fillId="0" borderId="0" xfId="0" quotePrefix="1" applyFont="1" applyAlignment="1">
      <alignment horizontal="centerContinuous"/>
    </xf>
    <xf numFmtId="164" fontId="34" fillId="0" borderId="51" xfId="0" applyFont="1" applyBorder="1" applyAlignment="1">
      <alignment horizontal="center"/>
    </xf>
    <xf numFmtId="170" fontId="34" fillId="0" borderId="51" xfId="0" applyNumberFormat="1" applyFont="1" applyBorder="1" applyAlignment="1">
      <alignment horizontal="center"/>
    </xf>
    <xf numFmtId="166" fontId="34" fillId="0" borderId="51" xfId="0" applyNumberFormat="1" applyFont="1" applyBorder="1" applyAlignment="1">
      <alignment horizontal="center"/>
    </xf>
    <xf numFmtId="43" fontId="34" fillId="0" borderId="0" xfId="1" applyFont="1" applyFill="1" applyProtection="1"/>
    <xf numFmtId="164" fontId="11" fillId="0" borderId="20" xfId="0" quotePrefix="1" applyFont="1" applyBorder="1" applyAlignment="1">
      <alignment horizontal="center"/>
    </xf>
    <xf numFmtId="164" fontId="11" fillId="0" borderId="20" xfId="0" applyFont="1" applyBorder="1" applyAlignment="1">
      <alignment horizontal="center"/>
    </xf>
    <xf numFmtId="170" fontId="34" fillId="0" borderId="0" xfId="0" applyNumberFormat="1" applyFont="1"/>
    <xf numFmtId="170" fontId="11" fillId="0" borderId="0" xfId="0" applyNumberFormat="1" applyFont="1"/>
    <xf numFmtId="166" fontId="45" fillId="0" borderId="0" xfId="0" applyNumberFormat="1" applyFont="1" applyProtection="1">
      <protection locked="0"/>
    </xf>
    <xf numFmtId="167" fontId="11" fillId="0" borderId="0" xfId="0" quotePrefix="1" applyNumberFormat="1" applyFont="1" applyAlignment="1">
      <alignment horizontal="left"/>
    </xf>
    <xf numFmtId="166" fontId="34" fillId="0" borderId="0" xfId="0" applyNumberFormat="1" applyFont="1"/>
    <xf numFmtId="173" fontId="44" fillId="0" borderId="6" xfId="0" applyNumberFormat="1" applyFont="1" applyBorder="1" applyAlignment="1">
      <alignment horizontal="center"/>
    </xf>
    <xf numFmtId="173" fontId="11" fillId="0" borderId="0" xfId="0" applyNumberFormat="1" applyFont="1" applyAlignment="1">
      <alignment horizontal="center"/>
    </xf>
    <xf numFmtId="173" fontId="44" fillId="0" borderId="6" xfId="0" applyNumberFormat="1" applyFont="1" applyBorder="1" applyAlignment="1" applyProtection="1">
      <alignment horizontal="center"/>
      <protection locked="0"/>
    </xf>
    <xf numFmtId="173" fontId="11" fillId="0" borderId="0" xfId="0" applyNumberFormat="1" applyFont="1"/>
    <xf numFmtId="173" fontId="34" fillId="0" borderId="0" xfId="0" applyNumberFormat="1" applyFont="1" applyProtection="1">
      <protection locked="0"/>
    </xf>
    <xf numFmtId="166" fontId="44" fillId="0" borderId="0" xfId="0" applyNumberFormat="1" applyFont="1" applyProtection="1">
      <protection locked="0"/>
    </xf>
    <xf numFmtId="167" fontId="11" fillId="0" borderId="0" xfId="0" applyNumberFormat="1" applyFont="1"/>
    <xf numFmtId="166" fontId="11" fillId="0" borderId="0" xfId="0" applyNumberFormat="1" applyFont="1"/>
    <xf numFmtId="173" fontId="44" fillId="0" borderId="0" xfId="0" applyNumberFormat="1" applyFont="1" applyAlignment="1">
      <alignment horizontal="center"/>
    </xf>
    <xf numFmtId="173" fontId="44" fillId="0" borderId="0" xfId="0" applyNumberFormat="1" applyFont="1" applyAlignment="1" applyProtection="1">
      <alignment horizontal="center"/>
      <protection locked="0"/>
    </xf>
    <xf numFmtId="173" fontId="11" fillId="0" borderId="0" xfId="0" quotePrefix="1" applyNumberFormat="1" applyFont="1" applyAlignment="1">
      <alignment horizontal="left"/>
    </xf>
    <xf numFmtId="173" fontId="11" fillId="0" borderId="0" xfId="0" applyNumberFormat="1" applyFont="1" applyProtection="1">
      <protection locked="0"/>
    </xf>
    <xf numFmtId="37" fontId="44" fillId="0" borderId="0" xfId="0" applyNumberFormat="1" applyFont="1" applyProtection="1">
      <protection locked="0"/>
    </xf>
    <xf numFmtId="164" fontId="44" fillId="0" borderId="0" xfId="0" applyFont="1" applyProtection="1">
      <protection locked="0"/>
    </xf>
    <xf numFmtId="37" fontId="34" fillId="0" borderId="0" xfId="0" applyNumberFormat="1" applyFont="1"/>
    <xf numFmtId="39" fontId="11" fillId="0" borderId="0" xfId="0" applyNumberFormat="1" applyFont="1"/>
    <xf numFmtId="180" fontId="11" fillId="0" borderId="0" xfId="0" applyNumberFormat="1" applyFont="1"/>
    <xf numFmtId="164" fontId="11" fillId="0" borderId="0" xfId="0" applyFont="1" applyAlignment="1" applyProtection="1">
      <alignment horizontal="center"/>
      <protection locked="0"/>
    </xf>
    <xf numFmtId="166" fontId="44" fillId="0" borderId="0" xfId="0" applyNumberFormat="1" applyFont="1"/>
    <xf numFmtId="37" fontId="11" fillId="0" borderId="0" xfId="0" applyNumberFormat="1" applyFont="1" applyAlignment="1">
      <alignment horizontal="left"/>
    </xf>
    <xf numFmtId="37" fontId="11" fillId="0" borderId="0" xfId="0" applyNumberFormat="1" applyFont="1" applyAlignment="1">
      <alignment horizontal="center"/>
    </xf>
    <xf numFmtId="9" fontId="11" fillId="0" borderId="0" xfId="44" applyFont="1" applyFill="1"/>
    <xf numFmtId="2" fontId="44" fillId="0" borderId="0" xfId="0" applyNumberFormat="1" applyFont="1" applyAlignment="1" applyProtection="1">
      <alignment horizontal="center"/>
      <protection locked="0"/>
    </xf>
    <xf numFmtId="173" fontId="11" fillId="0" borderId="0" xfId="0" applyNumberFormat="1" applyFont="1" applyAlignment="1" applyProtection="1">
      <alignment horizontal="center"/>
      <protection locked="0"/>
    </xf>
    <xf numFmtId="164" fontId="11" fillId="0" borderId="51" xfId="0" applyFont="1" applyBorder="1" applyAlignment="1">
      <alignment horizontal="left"/>
    </xf>
    <xf numFmtId="168" fontId="11" fillId="0" borderId="51" xfId="1" applyNumberFormat="1" applyFont="1" applyFill="1" applyBorder="1" applyAlignment="1" applyProtection="1">
      <alignment horizontal="left"/>
    </xf>
    <xf numFmtId="170" fontId="11" fillId="0" borderId="51" xfId="0" applyNumberFormat="1" applyFont="1" applyBorder="1" applyAlignment="1">
      <alignment horizontal="left"/>
    </xf>
    <xf numFmtId="170" fontId="11" fillId="0" borderId="0" xfId="0" applyNumberFormat="1" applyFont="1" applyAlignment="1">
      <alignment horizontal="centerContinuous"/>
    </xf>
    <xf numFmtId="43" fontId="11" fillId="0" borderId="0" xfId="1" applyFont="1" applyFill="1"/>
    <xf numFmtId="170" fontId="11" fillId="0" borderId="0" xfId="0" quotePrefix="1" applyNumberFormat="1" applyFont="1" applyAlignment="1">
      <alignment horizontal="center"/>
    </xf>
    <xf numFmtId="37" fontId="34" fillId="0" borderId="0" xfId="0" applyNumberFormat="1" applyFont="1" applyAlignment="1">
      <alignment horizontal="left"/>
    </xf>
    <xf numFmtId="171" fontId="44" fillId="0" borderId="0" xfId="1" applyNumberFormat="1" applyFont="1" applyFill="1" applyProtection="1"/>
    <xf numFmtId="170" fontId="11" fillId="0" borderId="0" xfId="0" applyNumberFormat="1" applyFont="1" applyAlignment="1">
      <alignment horizontal="center"/>
    </xf>
    <xf numFmtId="2" fontId="44" fillId="0" borderId="0" xfId="0" applyNumberFormat="1" applyFont="1"/>
    <xf numFmtId="173" fontId="90" fillId="0" borderId="0" xfId="0" applyNumberFormat="1" applyFont="1" applyAlignment="1">
      <alignment horizontal="center"/>
    </xf>
    <xf numFmtId="166" fontId="34" fillId="0" borderId="0" xfId="0" applyNumberFormat="1" applyFont="1" applyAlignment="1">
      <alignment horizontal="right"/>
    </xf>
    <xf numFmtId="170" fontId="44" fillId="0" borderId="0" xfId="0" applyNumberFormat="1" applyFont="1" applyAlignment="1" applyProtection="1">
      <alignment horizontal="center"/>
      <protection locked="0"/>
    </xf>
    <xf numFmtId="168" fontId="11" fillId="0" borderId="0" xfId="1" applyNumberFormat="1" applyFont="1" applyFill="1" applyAlignment="1">
      <alignment horizontal="center"/>
    </xf>
    <xf numFmtId="164" fontId="11" fillId="0" borderId="6" xfId="0" applyFont="1" applyBorder="1" applyAlignment="1">
      <alignment horizontal="center"/>
    </xf>
    <xf numFmtId="2" fontId="44" fillId="0" borderId="6" xfId="0" applyNumberFormat="1" applyFont="1" applyBorder="1" applyAlignment="1" applyProtection="1">
      <alignment horizontal="center"/>
      <protection locked="0"/>
    </xf>
    <xf numFmtId="37" fontId="11" fillId="0" borderId="6" xfId="0" applyNumberFormat="1" applyFont="1" applyBorder="1" applyAlignment="1">
      <alignment horizontal="center"/>
    </xf>
    <xf numFmtId="168" fontId="11" fillId="0" borderId="0" xfId="1" applyNumberFormat="1" applyFont="1" applyFill="1" applyAlignment="1">
      <alignment horizontal="right"/>
    </xf>
    <xf numFmtId="164" fontId="44" fillId="0" borderId="0" xfId="0" quotePrefix="1" applyFont="1" applyAlignment="1">
      <alignment horizontal="left"/>
    </xf>
    <xf numFmtId="166" fontId="11" fillId="0" borderId="0" xfId="0" applyNumberFormat="1" applyFont="1" applyAlignment="1">
      <alignment horizontal="left"/>
    </xf>
    <xf numFmtId="174" fontId="11" fillId="0" borderId="0" xfId="43" applyNumberFormat="1" applyFont="1" applyFill="1"/>
    <xf numFmtId="166" fontId="114" fillId="35" borderId="0" xfId="0" applyNumberFormat="1" applyFont="1" applyFill="1" applyAlignment="1">
      <alignment horizontal="center"/>
    </xf>
    <xf numFmtId="164" fontId="87" fillId="0" borderId="0" xfId="0" applyFont="1"/>
    <xf numFmtId="164" fontId="35" fillId="0" borderId="0" xfId="0" applyFont="1" applyAlignment="1">
      <alignment horizontal="left"/>
    </xf>
    <xf numFmtId="164" fontId="35" fillId="0" borderId="0" xfId="0" quotePrefix="1" applyFont="1" applyAlignment="1">
      <alignment horizontal="center"/>
    </xf>
    <xf numFmtId="169" fontId="53" fillId="0" borderId="0" xfId="1" applyNumberFormat="1" applyFont="1" applyFill="1" applyBorder="1"/>
    <xf numFmtId="169" fontId="53" fillId="0" borderId="8" xfId="1" applyNumberFormat="1" applyFont="1" applyFill="1" applyBorder="1"/>
    <xf numFmtId="37" fontId="34" fillId="0" borderId="0" xfId="0" applyNumberFormat="1" applyFont="1" applyAlignment="1">
      <alignment horizontal="right"/>
    </xf>
    <xf numFmtId="166" fontId="34" fillId="0" borderId="0" xfId="0" applyNumberFormat="1" applyFont="1" applyAlignment="1">
      <alignment horizontal="left"/>
    </xf>
    <xf numFmtId="182" fontId="35" fillId="0" borderId="0" xfId="0" quotePrefix="1" applyNumberFormat="1" applyFont="1" applyAlignment="1">
      <alignment horizontal="center"/>
    </xf>
    <xf numFmtId="164" fontId="56" fillId="0" borderId="25" xfId="0" applyFont="1" applyBorder="1"/>
    <xf numFmtId="164" fontId="56" fillId="0" borderId="8" xfId="0" applyFont="1" applyBorder="1"/>
    <xf numFmtId="166" fontId="44" fillId="0" borderId="0" xfId="0" applyNumberFormat="1" applyFont="1" applyAlignment="1">
      <alignment horizontal="center"/>
    </xf>
    <xf numFmtId="14" fontId="103" fillId="0" borderId="0" xfId="0" quotePrefix="1" applyNumberFormat="1" applyFont="1" applyAlignment="1" applyProtection="1">
      <alignment horizontal="left"/>
      <protection locked="0"/>
    </xf>
    <xf numFmtId="14" fontId="11" fillId="0" borderId="0" xfId="0" applyNumberFormat="1" applyFont="1" applyAlignment="1">
      <alignment horizontal="right"/>
    </xf>
    <xf numFmtId="14" fontId="11" fillId="0" borderId="0" xfId="0" quotePrefix="1" applyNumberFormat="1" applyFont="1" applyAlignment="1">
      <alignment horizontal="right"/>
    </xf>
    <xf numFmtId="164" fontId="116" fillId="0" borderId="0" xfId="0" quotePrefix="1" applyFont="1" applyAlignment="1" applyProtection="1">
      <alignment horizontal="left"/>
      <protection locked="0"/>
    </xf>
    <xf numFmtId="168" fontId="11" fillId="0" borderId="0" xfId="1" applyNumberFormat="1" applyFont="1" applyAlignment="1" applyProtection="1">
      <alignment horizontal="center"/>
    </xf>
    <xf numFmtId="168" fontId="11" fillId="0" borderId="0" xfId="1" applyNumberFormat="1" applyFont="1" applyProtection="1"/>
    <xf numFmtId="37" fontId="11" fillId="0" borderId="0" xfId="1" applyNumberFormat="1" applyFont="1" applyProtection="1"/>
    <xf numFmtId="39" fontId="0" fillId="0" borderId="0" xfId="0" applyNumberFormat="1"/>
    <xf numFmtId="164" fontId="44" fillId="0" borderId="51" xfId="0" applyFont="1" applyBorder="1" applyAlignment="1">
      <alignment horizontal="center"/>
    </xf>
    <xf numFmtId="37" fontId="44" fillId="0" borderId="51" xfId="0" applyNumberFormat="1" applyFont="1" applyBorder="1" applyAlignment="1">
      <alignment horizontal="center"/>
    </xf>
    <xf numFmtId="166" fontId="41" fillId="0" borderId="0" xfId="0" applyNumberFormat="1" applyFont="1"/>
    <xf numFmtId="166" fontId="103" fillId="0" borderId="0" xfId="0" applyNumberFormat="1" applyFont="1" applyProtection="1">
      <protection locked="0"/>
    </xf>
    <xf numFmtId="166" fontId="113" fillId="0" borderId="0" xfId="0" applyNumberFormat="1" applyFont="1" applyProtection="1">
      <protection locked="0"/>
    </xf>
    <xf numFmtId="164" fontId="103" fillId="0" borderId="0" xfId="0" applyFont="1"/>
    <xf numFmtId="167" fontId="113" fillId="0" borderId="0" xfId="0" applyNumberFormat="1" applyFont="1"/>
    <xf numFmtId="166" fontId="66" fillId="0" borderId="0" xfId="0" applyNumberFormat="1" applyFont="1"/>
    <xf numFmtId="0" fontId="103" fillId="0" borderId="0" xfId="71" applyFont="1" applyAlignment="1">
      <alignment horizontal="center"/>
    </xf>
    <xf numFmtId="0" fontId="103" fillId="0" borderId="6" xfId="71" applyFont="1" applyBorder="1" applyAlignment="1">
      <alignment horizontal="center"/>
    </xf>
    <xf numFmtId="168" fontId="103" fillId="0" borderId="0" xfId="1" applyNumberFormat="1" applyFont="1"/>
    <xf numFmtId="168" fontId="103" fillId="0" borderId="6" xfId="1" applyNumberFormat="1" applyFont="1" applyBorder="1"/>
    <xf numFmtId="184" fontId="44" fillId="0" borderId="0" xfId="0" quotePrefix="1" applyNumberFormat="1" applyFont="1" applyAlignment="1">
      <alignment horizontal="center"/>
    </xf>
    <xf numFmtId="14" fontId="11" fillId="2" borderId="0" xfId="0" quotePrefix="1" applyNumberFormat="1" applyFont="1" applyFill="1" applyAlignment="1" applyProtection="1">
      <alignment horizontal="left"/>
      <protection locked="0"/>
    </xf>
    <xf numFmtId="14" fontId="34" fillId="0" borderId="0" xfId="0" applyNumberFormat="1" applyFont="1" applyAlignment="1">
      <alignment horizontal="left"/>
    </xf>
    <xf numFmtId="14" fontId="11" fillId="2" borderId="0" xfId="0" quotePrefix="1" applyNumberFormat="1" applyFont="1" applyFill="1" applyAlignment="1" applyProtection="1">
      <alignment horizontal="right"/>
      <protection locked="0"/>
    </xf>
    <xf numFmtId="164" fontId="117" fillId="38" borderId="0" xfId="0" applyFont="1" applyFill="1"/>
    <xf numFmtId="49" fontId="117" fillId="0" borderId="0" xfId="0" applyNumberFormat="1" applyFont="1"/>
    <xf numFmtId="164" fontId="118" fillId="0" borderId="0" xfId="0" applyFont="1"/>
    <xf numFmtId="168" fontId="117" fillId="0" borderId="0" xfId="1" applyNumberFormat="1" applyFont="1"/>
    <xf numFmtId="164" fontId="117" fillId="0" borderId="0" xfId="0" applyFont="1"/>
    <xf numFmtId="0" fontId="119" fillId="0" borderId="0" xfId="75" applyFont="1"/>
    <xf numFmtId="0" fontId="1" fillId="0" borderId="0" xfId="166" applyFont="1"/>
    <xf numFmtId="49" fontId="11" fillId="0" borderId="0" xfId="0" applyNumberFormat="1" applyFont="1" applyAlignment="1">
      <alignment horizontal="right"/>
    </xf>
    <xf numFmtId="168" fontId="117" fillId="0" borderId="0" xfId="1" applyNumberFormat="1" applyFont="1" applyFill="1"/>
    <xf numFmtId="49" fontId="117" fillId="0" borderId="0" xfId="0" applyNumberFormat="1" applyFont="1" applyAlignment="1">
      <alignment horizontal="right"/>
    </xf>
    <xf numFmtId="0" fontId="117" fillId="0" borderId="0" xfId="75" applyFont="1" applyAlignment="1">
      <alignment horizontal="right"/>
    </xf>
    <xf numFmtId="49" fontId="117" fillId="0" borderId="0" xfId="0" applyNumberFormat="1" applyFont="1" applyAlignment="1">
      <alignment horizontal="center"/>
    </xf>
    <xf numFmtId="164" fontId="80" fillId="0" borderId="18" xfId="0" applyFont="1" applyBorder="1" applyProtection="1">
      <protection locked="0"/>
    </xf>
    <xf numFmtId="164" fontId="80" fillId="39" borderId="18" xfId="0" applyFont="1" applyFill="1" applyBorder="1"/>
    <xf numFmtId="164" fontId="80" fillId="2" borderId="0" xfId="0" applyFont="1" applyFill="1" applyAlignment="1" applyProtection="1">
      <alignment horizontal="center"/>
      <protection locked="0"/>
    </xf>
    <xf numFmtId="37" fontId="80" fillId="2" borderId="30" xfId="0" applyNumberFormat="1" applyFont="1" applyFill="1" applyBorder="1" applyProtection="1">
      <protection locked="0"/>
    </xf>
    <xf numFmtId="37" fontId="80" fillId="2" borderId="8" xfId="0" applyNumberFormat="1" applyFont="1" applyFill="1" applyBorder="1"/>
    <xf numFmtId="167" fontId="80" fillId="2" borderId="8" xfId="0" applyNumberFormat="1" applyFont="1" applyFill="1" applyBorder="1"/>
    <xf numFmtId="37" fontId="80" fillId="2" borderId="25" xfId="1" applyNumberFormat="1" applyFont="1" applyFill="1" applyBorder="1" applyProtection="1"/>
    <xf numFmtId="37" fontId="80" fillId="2" borderId="28" xfId="0" applyNumberFormat="1" applyFont="1" applyFill="1" applyBorder="1" applyProtection="1">
      <protection locked="0"/>
    </xf>
    <xf numFmtId="164" fontId="80" fillId="2" borderId="19" xfId="0" applyFont="1" applyFill="1" applyBorder="1"/>
    <xf numFmtId="37" fontId="80" fillId="2" borderId="23" xfId="1" applyNumberFormat="1" applyFont="1" applyFill="1" applyBorder="1" applyProtection="1"/>
    <xf numFmtId="37" fontId="80" fillId="2" borderId="29" xfId="0" applyNumberFormat="1" applyFont="1" applyFill="1" applyBorder="1" applyProtection="1">
      <protection locked="0"/>
    </xf>
    <xf numFmtId="37" fontId="80" fillId="2" borderId="42" xfId="0" applyNumberFormat="1" applyFont="1" applyFill="1" applyBorder="1"/>
    <xf numFmtId="37" fontId="80" fillId="2" borderId="44" xfId="0" applyNumberFormat="1" applyFont="1" applyFill="1" applyBorder="1"/>
    <xf numFmtId="167" fontId="80" fillId="2" borderId="44" xfId="0" applyNumberFormat="1" applyFont="1" applyFill="1" applyBorder="1"/>
    <xf numFmtId="37" fontId="80" fillId="2" borderId="29" xfId="1" applyNumberFormat="1" applyFont="1" applyFill="1" applyBorder="1" applyProtection="1"/>
    <xf numFmtId="37" fontId="80" fillId="2" borderId="19" xfId="0" applyNumberFormat="1" applyFont="1" applyFill="1" applyBorder="1" applyProtection="1">
      <protection locked="0"/>
    </xf>
    <xf numFmtId="167" fontId="80" fillId="2" borderId="19" xfId="0" applyNumberFormat="1" applyFont="1" applyFill="1" applyBorder="1"/>
    <xf numFmtId="164" fontId="80" fillId="2" borderId="19" xfId="0" applyFont="1" applyFill="1" applyBorder="1" applyProtection="1">
      <protection locked="0"/>
    </xf>
    <xf numFmtId="164" fontId="80" fillId="2" borderId="48" xfId="0" applyFont="1" applyFill="1" applyBorder="1" applyAlignment="1">
      <alignment horizontal="center"/>
    </xf>
    <xf numFmtId="37" fontId="80" fillId="2" borderId="8" xfId="0" applyNumberFormat="1" applyFont="1" applyFill="1" applyBorder="1" applyProtection="1">
      <protection locked="0"/>
    </xf>
    <xf numFmtId="37" fontId="80" fillId="2" borderId="21" xfId="0" applyNumberFormat="1" applyFont="1" applyFill="1" applyBorder="1" applyProtection="1">
      <protection locked="0"/>
    </xf>
    <xf numFmtId="164" fontId="80" fillId="2" borderId="49" xfId="0" applyFont="1" applyFill="1" applyBorder="1" applyAlignment="1">
      <alignment horizontal="center"/>
    </xf>
    <xf numFmtId="37" fontId="80" fillId="2" borderId="25" xfId="0" applyNumberFormat="1" applyFont="1" applyFill="1" applyBorder="1" applyProtection="1">
      <protection locked="0"/>
    </xf>
    <xf numFmtId="37" fontId="80" fillId="2" borderId="23" xfId="0" applyNumberFormat="1" applyFont="1" applyFill="1" applyBorder="1" applyProtection="1">
      <protection locked="0"/>
    </xf>
    <xf numFmtId="37" fontId="80" fillId="2" borderId="27" xfId="0" applyNumberFormat="1" applyFont="1" applyFill="1" applyBorder="1"/>
    <xf numFmtId="37" fontId="80" fillId="2" borderId="6" xfId="0" applyNumberFormat="1" applyFont="1" applyFill="1" applyBorder="1"/>
    <xf numFmtId="37" fontId="80" fillId="2" borderId="30" xfId="0" applyNumberFormat="1" applyFont="1" applyFill="1" applyBorder="1"/>
    <xf numFmtId="37" fontId="80" fillId="2" borderId="0" xfId="0" applyNumberFormat="1" applyFont="1" applyFill="1"/>
    <xf numFmtId="37" fontId="80" fillId="2" borderId="40" xfId="0" applyNumberFormat="1" applyFont="1" applyFill="1" applyBorder="1"/>
    <xf numFmtId="37" fontId="80" fillId="2" borderId="24" xfId="1" applyNumberFormat="1" applyFont="1" applyFill="1" applyBorder="1" applyProtection="1"/>
    <xf numFmtId="39" fontId="80" fillId="2" borderId="24" xfId="1" applyNumberFormat="1" applyFont="1" applyFill="1" applyBorder="1" applyProtection="1"/>
    <xf numFmtId="165" fontId="80" fillId="0" borderId="0" xfId="0" applyNumberFormat="1" applyFont="1"/>
    <xf numFmtId="167" fontId="80" fillId="2" borderId="24" xfId="0" applyNumberFormat="1" applyFont="1" applyFill="1" applyBorder="1"/>
    <xf numFmtId="1" fontId="80" fillId="0" borderId="18" xfId="0" applyNumberFormat="1" applyFont="1" applyBorder="1"/>
    <xf numFmtId="167" fontId="80" fillId="2" borderId="27" xfId="0" applyNumberFormat="1" applyFont="1" applyFill="1" applyBorder="1" applyProtection="1">
      <protection locked="0"/>
    </xf>
    <xf numFmtId="167" fontId="80" fillId="2" borderId="20" xfId="0" applyNumberFormat="1" applyFont="1" applyFill="1" applyBorder="1"/>
    <xf numFmtId="183" fontId="80" fillId="2" borderId="18" xfId="0" quotePrefix="1" applyNumberFormat="1" applyFont="1" applyFill="1" applyBorder="1" applyAlignment="1">
      <alignment horizontal="center"/>
    </xf>
    <xf numFmtId="167" fontId="80" fillId="2" borderId="18" xfId="0" quotePrefix="1" applyNumberFormat="1" applyFont="1" applyFill="1" applyBorder="1" applyAlignment="1">
      <alignment horizontal="center"/>
    </xf>
    <xf numFmtId="1" fontId="81" fillId="0" borderId="31" xfId="0" applyNumberFormat="1" applyFont="1" applyBorder="1"/>
    <xf numFmtId="168" fontId="80" fillId="2" borderId="20" xfId="1" applyNumberFormat="1" applyFont="1" applyFill="1" applyBorder="1" applyProtection="1"/>
    <xf numFmtId="39" fontId="80" fillId="2" borderId="24" xfId="1" applyNumberFormat="1" applyFont="1" applyFill="1" applyBorder="1" applyAlignment="1" applyProtection="1">
      <alignment horizontal="right"/>
    </xf>
    <xf numFmtId="168" fontId="80" fillId="2" borderId="20" xfId="1" applyNumberFormat="1" applyFont="1" applyFill="1" applyBorder="1"/>
    <xf numFmtId="165" fontId="80" fillId="2" borderId="0" xfId="0" applyNumberFormat="1" applyFont="1" applyFill="1" applyAlignment="1" applyProtection="1">
      <alignment horizontal="center"/>
      <protection locked="0"/>
    </xf>
    <xf numFmtId="169" fontId="80" fillId="2" borderId="0" xfId="1" applyNumberFormat="1" applyFont="1" applyFill="1"/>
    <xf numFmtId="164" fontId="11" fillId="0" borderId="0" xfId="0" applyFont="1" applyAlignment="1">
      <alignment horizontal="left" vertical="top" wrapText="1"/>
    </xf>
    <xf numFmtId="0" fontId="40" fillId="0" borderId="0" xfId="71" applyFont="1" applyAlignment="1">
      <alignment horizontal="center"/>
    </xf>
    <xf numFmtId="0" fontId="40" fillId="0" borderId="0" xfId="45" quotePrefix="1" applyFont="1" applyAlignment="1">
      <alignment horizontal="center" wrapText="1"/>
    </xf>
    <xf numFmtId="0" fontId="11" fillId="0" borderId="0" xfId="45" applyAlignment="1">
      <alignment horizontal="center" wrapText="1"/>
    </xf>
    <xf numFmtId="164" fontId="80" fillId="2" borderId="30" xfId="0" applyFont="1" applyFill="1" applyBorder="1" applyAlignment="1">
      <alignment horizontal="center" wrapText="1"/>
    </xf>
    <xf numFmtId="164" fontId="80" fillId="2" borderId="41" xfId="0" applyFont="1" applyFill="1" applyBorder="1" applyAlignment="1">
      <alignment horizontal="center" wrapText="1"/>
    </xf>
  </cellXfs>
  <cellStyles count="169">
    <cellStyle name="20% - Accent1" xfId="19" builtinId="30" customBuiltin="1"/>
    <cellStyle name="20% - Accent1 2" xfId="51" xr:uid="{A5101F26-5ED5-41B7-925A-4BD3547D29DA}"/>
    <cellStyle name="20% - Accent1 2 2" xfId="129" xr:uid="{54CA0089-6CDF-41A4-BD7A-6F93CB06C222}"/>
    <cellStyle name="20% - Accent2" xfId="23" builtinId="34" customBuiltin="1"/>
    <cellStyle name="20% - Accent2 2" xfId="54" xr:uid="{07EF439F-184A-45DC-906A-44445F20D0C6}"/>
    <cellStyle name="20% - Accent2 2 2" xfId="130" xr:uid="{07C98603-072C-41FD-B9DE-7ADE7DD854B8}"/>
    <cellStyle name="20% - Accent3" xfId="27" builtinId="38" customBuiltin="1"/>
    <cellStyle name="20% - Accent3 2" xfId="57" xr:uid="{3756FCB2-9034-4C4B-8722-1F43B42D3249}"/>
    <cellStyle name="20% - Accent3 2 2" xfId="131" xr:uid="{8F5C869D-3ECB-483B-BA33-1A8E77A90B8A}"/>
    <cellStyle name="20% - Accent4" xfId="31" builtinId="42" customBuiltin="1"/>
    <cellStyle name="20% - Accent4 2" xfId="60" xr:uid="{5FF7D3E0-D20C-4AB5-B868-7E46BEB4E55D}"/>
    <cellStyle name="20% - Accent4 2 2" xfId="132" xr:uid="{5B8E6232-B730-44B4-83D4-1C65B5F1D85F}"/>
    <cellStyle name="20% - Accent5" xfId="35" builtinId="46" customBuiltin="1"/>
    <cellStyle name="20% - Accent5 2" xfId="63" xr:uid="{C46AE9A6-B862-47ED-8257-1550B82C4AE8}"/>
    <cellStyle name="20% - Accent5 3" xfId="127" xr:uid="{CEE3EB6E-31CC-426E-853A-52C7F1A67005}"/>
    <cellStyle name="20% - Accent6" xfId="39" builtinId="50" customBuiltin="1"/>
    <cellStyle name="20% - Accent6 2" xfId="66" xr:uid="{33C5C3AE-4704-40F8-90BB-F8226BD497BB}"/>
    <cellStyle name="20% - Accent6 2 2" xfId="133" xr:uid="{EF879639-8126-4968-ADAC-CAA2A5C0CA85}"/>
    <cellStyle name="40% - Accent1" xfId="20" builtinId="31" customBuiltin="1"/>
    <cellStyle name="40% - Accent1 2" xfId="52" xr:uid="{47EF680D-4448-4CD9-9884-C179BF4C8C31}"/>
    <cellStyle name="40% - Accent1 2 2" xfId="134" xr:uid="{5EFAAC8C-17CA-4D8E-B433-55836A5BBD3B}"/>
    <cellStyle name="40% - Accent2" xfId="24" builtinId="35" customBuiltin="1"/>
    <cellStyle name="40% - Accent2 2" xfId="55" xr:uid="{8F697506-74A6-435D-83F6-9F38D2A79F34}"/>
    <cellStyle name="40% - Accent2 3" xfId="126" xr:uid="{A53A3569-7321-4EAF-8FE3-F0CA0C619D06}"/>
    <cellStyle name="40% - Accent3" xfId="28" builtinId="39" customBuiltin="1"/>
    <cellStyle name="40% - Accent3 2" xfId="58" xr:uid="{A492393C-19B6-4616-AB60-82CB38372AE6}"/>
    <cellStyle name="40% - Accent3 2 2" xfId="135" xr:uid="{DCFB2F9C-5372-4524-B591-63EDFA98C5B6}"/>
    <cellStyle name="40% - Accent4" xfId="32" builtinId="43" customBuiltin="1"/>
    <cellStyle name="40% - Accent4 2" xfId="61" xr:uid="{340302B6-98F6-40B6-9858-5313F43BD6A6}"/>
    <cellStyle name="40% - Accent4 2 2" xfId="136" xr:uid="{3FAF531E-33DE-4D5A-916B-CD4FE594A4E0}"/>
    <cellStyle name="40% - Accent5" xfId="36" builtinId="47" customBuiltin="1"/>
    <cellStyle name="40% - Accent5 2" xfId="64" xr:uid="{0D59FF37-AE75-4C23-9AF7-BE4FCCB05CB9}"/>
    <cellStyle name="40% - Accent5 2 2" xfId="137" xr:uid="{44C41D72-A3AB-4451-8E9F-ED923B441C4C}"/>
    <cellStyle name="40% - Accent6" xfId="40" builtinId="51" customBuiltin="1"/>
    <cellStyle name="40% - Accent6 2" xfId="67" xr:uid="{7941E912-7C01-4B55-9F29-58058D0A3053}"/>
    <cellStyle name="40% - Accent6 2 2" xfId="138" xr:uid="{025BDD81-09B7-4333-A691-BD04013BCC20}"/>
    <cellStyle name="60% - Accent1" xfId="21" builtinId="32" customBuiltin="1"/>
    <cellStyle name="60% - Accent1 2" xfId="53" xr:uid="{29A3C072-A47F-4465-AF9E-92C3D45C95CA}"/>
    <cellStyle name="60% - Accent1 2 2" xfId="139" xr:uid="{9FE5F910-4169-4042-9943-1170A0DAA95A}"/>
    <cellStyle name="60% - Accent2" xfId="25" builtinId="36" customBuiltin="1"/>
    <cellStyle name="60% - Accent2 2" xfId="56" xr:uid="{11E6FEFE-B273-41F6-87EC-8FECEB255196}"/>
    <cellStyle name="60% - Accent2 2 2" xfId="140" xr:uid="{CB382AE1-4F1A-4760-986F-DE509768DC1E}"/>
    <cellStyle name="60% - Accent3" xfId="29" builtinId="40" customBuiltin="1"/>
    <cellStyle name="60% - Accent3 2" xfId="59" xr:uid="{EDF6A42F-8600-4C29-BF40-F5F750A2862B}"/>
    <cellStyle name="60% - Accent3 2 2" xfId="141" xr:uid="{F57FE84A-3E25-492A-9820-4FF1E1756A42}"/>
    <cellStyle name="60% - Accent4" xfId="33" builtinId="44" customBuiltin="1"/>
    <cellStyle name="60% - Accent4 2" xfId="62" xr:uid="{068BA639-3CA8-4A61-8EE2-F31CFD8426E4}"/>
    <cellStyle name="60% - Accent4 2 2" xfId="142" xr:uid="{EF5DAC96-D33F-41D0-91FA-4026B9D121FC}"/>
    <cellStyle name="60% - Accent5" xfId="37" builtinId="48" customBuiltin="1"/>
    <cellStyle name="60% - Accent5 2" xfId="65" xr:uid="{03F71ABC-459B-413D-8DA4-8A61FA8EE92A}"/>
    <cellStyle name="60% - Accent5 2 2" xfId="143" xr:uid="{1C3AA15B-6512-4EC6-A24B-589280F057A2}"/>
    <cellStyle name="60% - Accent6" xfId="41" builtinId="52" customBuiltin="1"/>
    <cellStyle name="60% - Accent6 2" xfId="68" xr:uid="{24AB451C-8CA9-496E-B729-6FDB520616FE}"/>
    <cellStyle name="60% - Accent6 2 2" xfId="144" xr:uid="{08AA752E-C79C-4F1F-9489-EB49D280FF92}"/>
    <cellStyle name="Accent1" xfId="18" builtinId="29" customBuiltin="1"/>
    <cellStyle name="Accent1 2" xfId="145" xr:uid="{63DC8C3D-FE98-4DF6-B31D-A394F8EB7F59}"/>
    <cellStyle name="Accent2" xfId="22" builtinId="33" customBuiltin="1"/>
    <cellStyle name="Accent2 2" xfId="146" xr:uid="{85D0696B-5756-4FFD-944D-2F80EAC87508}"/>
    <cellStyle name="Accent3" xfId="26" builtinId="37" customBuiltin="1"/>
    <cellStyle name="Accent3 2" xfId="147" xr:uid="{8267CC58-98C8-4C06-BBF8-577BBF9F7EDE}"/>
    <cellStyle name="Accent4" xfId="30" builtinId="41" customBuiltin="1"/>
    <cellStyle name="Accent4 2" xfId="148" xr:uid="{F4AE6273-17AF-4447-A438-771FFFA5AA65}"/>
    <cellStyle name="Accent5" xfId="34" builtinId="45" customBuiltin="1"/>
    <cellStyle name="Accent6" xfId="38" builtinId="49" customBuiltin="1"/>
    <cellStyle name="Accent6 2" xfId="149" xr:uid="{DCCAD4C2-7E4A-4DD4-80B7-CBD0575C2A43}"/>
    <cellStyle name="Bad" xfId="8" builtinId="27" customBuiltin="1"/>
    <cellStyle name="Bad 2" xfId="150" xr:uid="{9A78C1CF-BF4F-4E59-B87C-9F082301D26C}"/>
    <cellStyle name="Calculation" xfId="12" builtinId="22" customBuiltin="1"/>
    <cellStyle name="Calculation 2" xfId="151" xr:uid="{9AE06CC5-1E8F-4A84-8CE9-27E888E675E7}"/>
    <cellStyle name="Check Cell" xfId="14" builtinId="23" customBuiltin="1"/>
    <cellStyle name="Comma" xfId="1" builtinId="3"/>
    <cellStyle name="Comma 2" xfId="48" xr:uid="{7CB09758-ABED-49F6-A464-A95598A270CB}"/>
    <cellStyle name="Comma 2 2" xfId="72" xr:uid="{0A298D90-E6F7-4B7C-BCFB-4298D425B8F3}"/>
    <cellStyle name="Comma 2 2 2" xfId="119" xr:uid="{38C5F84D-7432-4F3B-8DB7-1E6F66925EC1}"/>
    <cellStyle name="Comma 2 3" xfId="80" xr:uid="{0EBF5C43-CBEC-4C00-9480-9EE75A65DC7E}"/>
    <cellStyle name="Comma 3" xfId="77" xr:uid="{488FDB41-4E04-426E-BB44-B37BA90D78A9}"/>
    <cellStyle name="Comma 3 2" xfId="83" xr:uid="{EB23AE86-21D6-432B-8B15-BF7B90EBE86B}"/>
    <cellStyle name="Comma 3 2 2" xfId="107" xr:uid="{D3F85B66-B4FE-45E2-9C1E-E677D5EFD077}"/>
    <cellStyle name="Comma 3 3" xfId="82" xr:uid="{C17A247C-B70F-4BD0-B094-E9C1D5EA59D5}"/>
    <cellStyle name="Comma 4" xfId="84" xr:uid="{C412EE82-82FD-4CC7-BABC-75AB94FFC133}"/>
    <cellStyle name="Comma 4 2" xfId="106" xr:uid="{AA0A1EC5-1A23-451C-991F-F225A001331F}"/>
    <cellStyle name="Comma 5" xfId="81" xr:uid="{60E100F9-30A9-4F27-A700-DCF2819224F5}"/>
    <cellStyle name="Comma 5 2" xfId="92" xr:uid="{8D62725D-861D-44C4-B94C-957DB6DDDBEA}"/>
    <cellStyle name="Comma 5 3" xfId="114" xr:uid="{7FDACEBC-6FF6-432C-924C-71DE477A7789}"/>
    <cellStyle name="Comma 6" xfId="168" xr:uid="{6D062EB6-7C04-43B5-A0EA-F20EFB5A9D4D}"/>
    <cellStyle name="Currency 2" xfId="43" xr:uid="{9B22BD37-B397-4191-A6A8-3B24B868D1FE}"/>
    <cellStyle name="Explanatory Text" xfId="16" builtinId="53" customBuiltin="1"/>
    <cellStyle name="Good" xfId="7" builtinId="26" customBuiltin="1"/>
    <cellStyle name="Good 2" xfId="152" xr:uid="{77002836-C616-4CC2-8593-8A9C33365731}"/>
    <cellStyle name="Heading 1" xfId="3" builtinId="16" customBuiltin="1"/>
    <cellStyle name="Heading 1 2" xfId="153" xr:uid="{390053BC-D56C-4A63-83D9-483B31DD3FB7}"/>
    <cellStyle name="Heading 2" xfId="4" builtinId="17" customBuiltin="1"/>
    <cellStyle name="Heading 2 2" xfId="154" xr:uid="{4AFCA529-CCB6-4DD3-A97C-8FD3494AD82C}"/>
    <cellStyle name="Heading 3" xfId="5" builtinId="18" customBuiltin="1"/>
    <cellStyle name="Heading 3 2" xfId="155" xr:uid="{336830E6-B07D-4BC2-85E0-C9DCC6E0A089}"/>
    <cellStyle name="Heading 4" xfId="6" builtinId="19" customBuiltin="1"/>
    <cellStyle name="Heading 4 2" xfId="156" xr:uid="{031EF9ED-038A-4941-8B85-3774176A9248}"/>
    <cellStyle name="Input" xfId="10" builtinId="20" customBuiltin="1"/>
    <cellStyle name="Input 2" xfId="157" xr:uid="{EB1F4E14-4668-44DF-B11A-F074570C75D7}"/>
    <cellStyle name="Linked Cell" xfId="13" builtinId="24" customBuiltin="1"/>
    <cellStyle name="Linked Cell 2" xfId="158" xr:uid="{85E5822E-2B8F-49A6-A5A5-69E2A99D3A54}"/>
    <cellStyle name="Neutral" xfId="9" builtinId="28" customBuiltin="1"/>
    <cellStyle name="Neutral 2" xfId="159" xr:uid="{486278F7-232A-4934-9088-B9711517E1A1}"/>
    <cellStyle name="Normal" xfId="0" builtinId="0"/>
    <cellStyle name="Normal 10" xfId="109" xr:uid="{04F67F8B-D66D-450A-B315-24E56719C242}"/>
    <cellStyle name="Normal 11" xfId="105" xr:uid="{D6E78AF4-5112-4840-9A96-5F5A9F2B891E}"/>
    <cellStyle name="Normal 12" xfId="104" xr:uid="{1971635D-59CC-468E-9BD2-9C708A93460C}"/>
    <cellStyle name="Normal 13" xfId="103" xr:uid="{7937F05C-4190-4881-8601-D627696854AA}"/>
    <cellStyle name="Normal 14" xfId="102" xr:uid="{7B56F113-E3F9-46F9-8CED-A86F6E7D5508}"/>
    <cellStyle name="Normal 15" xfId="101" xr:uid="{077000C4-8BE2-4DE5-9E20-5BB94E5D9953}"/>
    <cellStyle name="Normal 16" xfId="95" xr:uid="{BF0A8568-86FD-422D-B3F3-8559D6C50BD6}"/>
    <cellStyle name="Normal 17" xfId="112" xr:uid="{F19863FB-1189-418C-B1A7-28E956B286BA}"/>
    <cellStyle name="Normal 17 2" xfId="113" xr:uid="{D82072A7-F98E-4A39-87E3-9E686893AEC0}"/>
    <cellStyle name="Normal 18" xfId="111" xr:uid="{0BA760B4-05F3-43B0-950D-D03D4E4EE02D}"/>
    <cellStyle name="Normal 19" xfId="115" xr:uid="{06AB9E05-48E0-4C16-A1DF-B965F715D2C6}"/>
    <cellStyle name="Normal 2" xfId="42" xr:uid="{07FBA324-4248-4F76-99CF-F78CEED79170}"/>
    <cellStyle name="Normal 2 2" xfId="73" xr:uid="{E8184CE1-DFAD-4165-99F9-09ED561B4442}"/>
    <cellStyle name="Normal 2 3" xfId="85" xr:uid="{88B7557A-0E68-4166-8DA3-52574159DD81}"/>
    <cellStyle name="Normal 20" xfId="116" xr:uid="{30989DC5-D7D1-49B6-9C3D-E6E2DDA865D2}"/>
    <cellStyle name="Normal 20 2" xfId="167" xr:uid="{C0685C2E-758F-4BBA-8FFC-A6B27DA43DD7}"/>
    <cellStyle name="Normal 21" xfId="118" xr:uid="{D61D1E58-40C4-4567-8C32-04BC3906DE26}"/>
    <cellStyle name="Normal 22" xfId="125" xr:uid="{B044F6C3-C7CB-4737-9FC1-A56C5D205232}"/>
    <cellStyle name="Normal 23" xfId="166" xr:uid="{7D9C3E04-49B9-4231-ABF8-2242DE3D8C1F}"/>
    <cellStyle name="Normal 3" xfId="45" xr:uid="{5AFBDFA8-2445-4814-BCDC-563C535AD970}"/>
    <cellStyle name="Normal 3 2" xfId="74" xr:uid="{7736A7C4-7FD6-48DB-A063-869172716453}"/>
    <cellStyle name="Normal 3 2 2" xfId="86" xr:uid="{69701CAB-1AC9-4714-A3E4-367798E100FF}"/>
    <cellStyle name="Normal 3 3" xfId="108" xr:uid="{C018FE47-FC80-4914-916B-0911F5E36396}"/>
    <cellStyle name="Normal 3 4" xfId="160" xr:uid="{36FADA80-746C-4E95-96C3-0D11686A3FA2}"/>
    <cellStyle name="Normal 4" xfId="46" xr:uid="{3EFD9C32-5FD5-4623-9686-2BB619CD6BEE}"/>
    <cellStyle name="Normal 4 2" xfId="69" xr:uid="{3A62CF7D-CBDC-4914-A95A-E75F8926235B}"/>
    <cellStyle name="Normal 4 2 2" xfId="93" xr:uid="{481D7766-35A8-44B0-9181-95EF270F7B67}"/>
    <cellStyle name="Normal 4 3" xfId="97" xr:uid="{EF7374F8-2353-4E15-A431-320E1096701A}"/>
    <cellStyle name="Normal 4 4" xfId="87" xr:uid="{08ED4A30-380B-409B-A981-ED2038C1AD93}"/>
    <cellStyle name="Normal 4 5" xfId="120" xr:uid="{F8ED0684-1141-4D82-9151-3906A44C4787}"/>
    <cellStyle name="Normal 4 6" xfId="128" xr:uid="{0B65902C-F575-4964-BD35-60036DCC000B}"/>
    <cellStyle name="Normal 5" xfId="75" xr:uid="{0EEFE555-6D5B-4306-9923-805E0C825E3F}"/>
    <cellStyle name="Normal 5 2" xfId="100" xr:uid="{4BEFFED6-7676-464D-8EBD-48B02258A8CC}"/>
    <cellStyle name="Normal 5 3" xfId="88" xr:uid="{42F3296F-047D-48B8-BD6D-E43627EC855B}"/>
    <cellStyle name="Normal 6" xfId="76" xr:uid="{ACC1CE72-F370-45AE-B3A3-7735B16F1474}"/>
    <cellStyle name="Normal 6 2" xfId="99" xr:uid="{3FAD39A3-989B-44ED-BD0B-0CDAEB6A5A3B}"/>
    <cellStyle name="Normal 6 3" xfId="89" xr:uid="{EEE4D993-618B-4C72-83D2-DDB34DA300A1}"/>
    <cellStyle name="Normal 7" xfId="78" xr:uid="{3932B141-6B0D-466F-98BF-FCF7312C3B20}"/>
    <cellStyle name="Normal 7 2" xfId="98" xr:uid="{D604805E-8252-43A5-9ABD-9989DE8811D3}"/>
    <cellStyle name="Normal 8" xfId="96" xr:uid="{84F2807D-CE85-444B-8B65-AD8564FDA28C}"/>
    <cellStyle name="Normal 9" xfId="79" xr:uid="{E88EB48B-F6F7-4273-9066-AC515348F068}"/>
    <cellStyle name="Normal_PAYROLL" xfId="71" xr:uid="{7D15B706-856D-497A-8496-41283E2E9FB8}"/>
    <cellStyle name="Normal_Sheet1 (2)" xfId="50" xr:uid="{846EE6E8-84CD-4601-AF66-E4D498BEF1DF}"/>
    <cellStyle name="Note 2" xfId="47" xr:uid="{7C0DFEB9-1490-46DC-A26A-6EDC50DC5DD6}"/>
    <cellStyle name="Note 2 2" xfId="70" xr:uid="{190CE6D2-3C83-4405-92F6-9831E20E4558}"/>
    <cellStyle name="Note 2 3" xfId="161" xr:uid="{6854FEE7-2279-4342-A277-956C288FA0EA}"/>
    <cellStyle name="Output" xfId="11" builtinId="21" customBuiltin="1"/>
    <cellStyle name="Output 2" xfId="162" xr:uid="{B39E1065-1118-450C-A43B-932D7822B176}"/>
    <cellStyle name="Percent" xfId="49" builtinId="5"/>
    <cellStyle name="Percent 2" xfId="44" xr:uid="{58D63EDF-395D-4FBA-A870-10C8E049E26D}"/>
    <cellStyle name="Percent 2 2" xfId="122" xr:uid="{DDEA80B7-9DA2-4D7F-B23C-6A7B8A48F76F}"/>
    <cellStyle name="Percent 3" xfId="91" xr:uid="{B7675A00-3305-4CE7-9CEB-A8F8C3EC134F}"/>
    <cellStyle name="Percent 3 2" xfId="124" xr:uid="{945C9DB5-00EC-49A3-A556-C24BB64F682B}"/>
    <cellStyle name="Percent 3 3" xfId="123" xr:uid="{5C841CEE-C0D8-4A75-8497-F33ACBE1605B}"/>
    <cellStyle name="Percent 4" xfId="90" xr:uid="{9EBB3926-FAA2-4630-A26C-C38443444317}"/>
    <cellStyle name="Percent 4 2" xfId="94" xr:uid="{B10676B8-BC70-4113-B78A-53F704673C0E}"/>
    <cellStyle name="Percent 4 3" xfId="110" xr:uid="{15F39C65-00BE-49F7-AEF2-9B2567774C3B}"/>
    <cellStyle name="Percent 5" xfId="117" xr:uid="{ED117A6D-6F7E-4577-A182-2921E407C28F}"/>
    <cellStyle name="Percent 6" xfId="121" xr:uid="{54B41CA9-6123-4B94-8D94-1FE6B6AA9392}"/>
    <cellStyle name="Percent 7" xfId="165" xr:uid="{AB1A2CA8-6D17-4B75-B007-7FA62F0138E5}"/>
    <cellStyle name="Title" xfId="2" builtinId="15" customBuiltin="1"/>
    <cellStyle name="Title 2" xfId="163" xr:uid="{AF159372-A1BF-4DAF-9FFA-FDB4F608EB7F}"/>
    <cellStyle name="Total" xfId="17" builtinId="25" customBuiltin="1"/>
    <cellStyle name="Total 2" xfId="164" xr:uid="{DE4F86CC-4665-4E90-B6DE-1DD3D2634608}"/>
    <cellStyle name="Warning Text" xfId="15" builtinId="11" customBuiltin="1"/>
  </cellStyles>
  <dxfs count="6">
    <dxf>
      <numFmt numFmtId="168" formatCode="_(* #,##0_);_(* \(#,##0\);_(* &quot;-&quot;??_);_(@_)"/>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numFmt numFmtId="168" formatCode="_(* #,##0_);_(* \(#,##0\);_(* &quot;-&quot;??_);_(@_)"/>
    </dxf>
  </dxf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8080FF"/>
      <rgbColor rgb="00802060"/>
      <rgbColor rgb="00FFFFC0"/>
      <rgbColor rgb="00A0E0E0"/>
      <rgbColor rgb="00600080"/>
      <rgbColor rgb="00FF8080"/>
      <rgbColor rgb="000080C0"/>
      <rgbColor rgb="00C0C0FF"/>
      <rgbColor rgb="00000080"/>
      <rgbColor rgb="00FF00FF"/>
      <rgbColor rgb="00FFFF00"/>
      <rgbColor rgb="0000FFFF"/>
      <rgbColor rgb="00800080"/>
      <rgbColor rgb="00800000"/>
      <rgbColor rgb="00008080"/>
      <rgbColor rgb="000000FF"/>
      <rgbColor rgb="0000CCFF"/>
      <rgbColor rgb="0069FFFF"/>
      <rgbColor rgb="00CCFFCC"/>
      <rgbColor rgb="00FFFF99"/>
      <rgbColor rgb="00A6CAF0"/>
      <rgbColor rgb="00CC9CCC"/>
      <rgbColor rgb="00CC99FF"/>
      <rgbColor rgb="00E3E3E3"/>
      <rgbColor rgb="003366FF"/>
      <rgbColor rgb="0033CCCC"/>
      <rgbColor rgb="00339933"/>
      <rgbColor rgb="00999933"/>
      <rgbColor rgb="00996633"/>
      <rgbColor rgb="00996666"/>
      <rgbColor rgb="00666699"/>
      <rgbColor rgb="00969696"/>
      <rgbColor rgb="003333CC"/>
      <rgbColor rgb="00336666"/>
      <rgbColor rgb="00003300"/>
      <rgbColor rgb="00333300"/>
      <rgbColor rgb="00663300"/>
      <rgbColor rgb="00993366"/>
      <rgbColor rgb="00333399"/>
      <rgbColor rgb="00424242"/>
    </indexedColors>
    <mruColors>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21" Type="http://schemas.openxmlformats.org/officeDocument/2006/relationships/worksheet" Target="worksheets/sheet21.xml"/><Relationship Id="rId34" Type="http://schemas.openxmlformats.org/officeDocument/2006/relationships/theme" Target="theme/theme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pivotCacheDefinition" Target="pivotCache/pivotCacheDefinition6.xml"/><Relationship Id="rId38"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pivotCacheDefinition" Target="pivotCache/pivotCacheDefinition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pivotCacheDefinition" Target="pivotCache/pivotCacheDefinition5.xml"/><Relationship Id="rId37" Type="http://schemas.openxmlformats.org/officeDocument/2006/relationships/sheetMetadata" Target="metadata.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pivotCacheDefinition" Target="pivotCache/pivotCacheDefinition1.xml"/><Relationship Id="rId36"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pivotCacheDefinition" Target="pivotCache/pivotCacheDefinition4.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pivotCacheDefinition" Target="pivotCache/pivotCacheDefinition3.xml"/><Relationship Id="rId35" Type="http://schemas.openxmlformats.org/officeDocument/2006/relationships/styles" Target="styles.xml"/><Relationship Id="rId8" Type="http://schemas.openxmlformats.org/officeDocument/2006/relationships/worksheet" Target="worksheets/sheet8.xml"/><Relationship Id="rId3" Type="http://schemas.openxmlformats.org/officeDocument/2006/relationships/worksheet" Target="worksheets/sheet3.xml"/></Relationships>
</file>

<file path=xl/ctrlProps/ctrlProp1.xml><?xml version="1.0" encoding="utf-8"?>
<formControlPr xmlns="http://schemas.microsoft.com/office/spreadsheetml/2009/9/main" objectType="Drop" dropLines="20" dropStyle="combo" dx="22" fmlaLink="$P$1" fmlaRange="$S$1:$S$350" noThreeD="1" sel="1" val="0"/>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59871</xdr:colOff>
          <xdr:row>0</xdr:row>
          <xdr:rowOff>21771</xdr:rowOff>
        </xdr:from>
        <xdr:to>
          <xdr:col>3</xdr:col>
          <xdr:colOff>560614</xdr:colOff>
          <xdr:row>1</xdr:row>
          <xdr:rowOff>76200</xdr:rowOff>
        </xdr:to>
        <xdr:sp macro="" textlink="">
          <xdr:nvSpPr>
            <xdr:cNvPr id="69633" name="Drop Down 1" hidden="1">
              <a:extLst>
                <a:ext uri="{63B3BB69-23CF-44E3-9099-C40C66FF867C}">
                  <a14:compatExt spid="_x0000_s69633"/>
                </a:ext>
                <a:ext uri="{FF2B5EF4-FFF2-40B4-BE49-F238E27FC236}">
                  <a16:creationId xmlns:a16="http://schemas.microsoft.com/office/drawing/2014/main" id="{00000000-0008-0000-1900-0000011001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wsDr>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_rels/pivotCacheDefinition2.xml.rels><?xml version="1.0" encoding="UTF-8" standalone="yes"?>
<Relationships xmlns="http://schemas.openxmlformats.org/package/2006/relationships"><Relationship Id="rId1" Type="http://schemas.openxmlformats.org/officeDocument/2006/relationships/pivotCacheRecords" Target="pivotCacheRecords2.xml"/></Relationships>
</file>

<file path=xl/pivotCache/_rels/pivotCacheDefinition3.xml.rels><?xml version="1.0" encoding="UTF-8" standalone="yes"?>
<Relationships xmlns="http://schemas.openxmlformats.org/package/2006/relationships"><Relationship Id="rId1" Type="http://schemas.openxmlformats.org/officeDocument/2006/relationships/pivotCacheRecords" Target="pivotCacheRecords3.xml"/></Relationships>
</file>

<file path=xl/pivotCache/_rels/pivotCacheDefinition4.xml.rels><?xml version="1.0" encoding="UTF-8" standalone="yes"?>
<Relationships xmlns="http://schemas.openxmlformats.org/package/2006/relationships"><Relationship Id="rId1" Type="http://schemas.openxmlformats.org/officeDocument/2006/relationships/pivotCacheRecords" Target="pivotCacheRecords4.xml"/></Relationships>
</file>

<file path=xl/pivotCache/_rels/pivotCacheDefinition5.xml.rels><?xml version="1.0" encoding="UTF-8" standalone="yes"?>
<Relationships xmlns="http://schemas.openxmlformats.org/package/2006/relationships"><Relationship Id="rId1" Type="http://schemas.openxmlformats.org/officeDocument/2006/relationships/pivotCacheRecords" Target="pivotCacheRecords5.xml"/></Relationships>
</file>

<file path=xl/pivotCache/_rels/pivotCacheDefinition6.xml.rels><?xml version="1.0" encoding="UTF-8" standalone="yes"?>
<Relationships xmlns="http://schemas.openxmlformats.org/package/2006/relationships"><Relationship Id="rId1" Type="http://schemas.openxmlformats.org/officeDocument/2006/relationships/pivotCacheRecords" Target="pivotCacheRecords6.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Mathis" refreshedDate="44890.594745833332" createdVersion="8" refreshedVersion="8" minRefreshableVersion="3" recordCount="61" xr:uid="{48D1C945-F580-4F9C-BFEC-14D9A277FFD6}">
  <cacheSource type="worksheet">
    <worksheetSource ref="C1:I62" sheet="Data_Payroll"/>
  </cacheSource>
  <cacheFields count="7">
    <cacheField name="ClassCodeNbr" numFmtId="0">
      <sharedItems containsBlank="1"/>
    </cacheField>
    <cacheField name="ClassCodeName" numFmtId="49">
      <sharedItems containsBlank="1"/>
    </cacheField>
    <cacheField name="PremiumBasisCode" numFmtId="49">
      <sharedItems containsBlank="1" count="2">
        <s v="PAY"/>
        <m/>
      </sharedItems>
    </cacheField>
    <cacheField name="PY" numFmtId="164">
      <sharedItems containsString="0" containsBlank="1" containsNumber="1" containsInteger="1" minValue="2013" maxValue="2019" count="8">
        <n v="2015"/>
        <n v="2016"/>
        <n v="2017"/>
        <n v="2018"/>
        <n v="2019"/>
        <m/>
        <n v="2014" u="1"/>
        <n v="2013" u="1"/>
      </sharedItems>
    </cacheField>
    <cacheField name="PayRoll" numFmtId="0">
      <sharedItems containsString="0" containsBlank="1" containsNumber="1" containsInteger="1" minValue="4234" maxValue="80655445"/>
    </cacheField>
    <cacheField name="Payroll2" numFmtId="164">
      <sharedItems containsString="0" containsBlank="1" containsNumber="1" containsInteger="1" minValue="4" maxValue="80655"/>
    </cacheField>
    <cacheField name="Class" numFmtId="164">
      <sharedItems containsBlank="1" count="13">
        <s v="6824F"/>
        <s v="6826F"/>
        <s v="6843F"/>
        <s v="6872F"/>
        <s v="7309F"/>
        <s v="7313F"/>
        <s v="7317F"/>
        <s v="7327F"/>
        <s v="7366F"/>
        <s v="8709F"/>
        <s v="8726F"/>
        <s v="9999F"/>
        <m/>
      </sharedItems>
    </cacheField>
  </cacheFields>
  <extLst>
    <ext xmlns:x14="http://schemas.microsoft.com/office/spreadsheetml/2009/9/main" uri="{725AE2AE-9491-48be-B2B4-4EB974FC3084}">
      <x14:pivotCacheDefinition/>
    </ext>
  </extLst>
</pivotCacheDefinition>
</file>

<file path=xl/pivotCache/pivotCacheDefinition2.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Mathis" refreshedDate="44894.527242245371" createdVersion="7" refreshedVersion="8" minRefreshableVersion="3" recordCount="226" xr:uid="{2CF3F929-C926-4A67-8C2B-256ECBFB643E}">
  <cacheSource type="worksheet">
    <worksheetSource ref="A1:R300" sheet="Limited Losses Combined"/>
  </cacheSource>
  <cacheFields count="18">
    <cacheField name="PY" numFmtId="164">
      <sharedItems containsString="0" containsBlank="1" containsNumber="1" containsInteger="1" minValue="13" maxValue="2019" count="13">
        <n v="2017"/>
        <m/>
        <n v="13" u="1"/>
        <n v="2015" u="1"/>
        <n v="14" u="1"/>
        <n v="15" u="1"/>
        <n v="16" u="1"/>
        <n v="17" u="1"/>
        <n v="2018" u="1"/>
        <n v="18" u="1"/>
        <n v="2016" u="1"/>
        <n v="2014" u="1"/>
        <n v="2019" u="1"/>
      </sharedItems>
    </cacheField>
    <cacheField name="Class" numFmtId="0">
      <sharedItems containsBlank="1"/>
    </cacheField>
    <cacheField name="File Num" numFmtId="164">
      <sharedItems containsString="0" containsBlank="1" containsNumber="1" containsInteger="1" minValue="3144963" maxValue="3144963"/>
    </cacheField>
    <cacheField name="Policy Num" numFmtId="164">
      <sharedItems containsBlank="1"/>
    </cacheField>
    <cacheField name="Row" numFmtId="164">
      <sharedItems containsString="0" containsBlank="1" containsNumber="1" containsInteger="1" minValue="1" maxValue="3" count="4">
        <n v="3"/>
        <m/>
        <n v="2" u="1"/>
        <n v="1" u="1"/>
      </sharedItems>
    </cacheField>
    <cacheField name="Ind Death" numFmtId="164">
      <sharedItems containsString="0" containsBlank="1" containsNumber="1" containsInteger="1" minValue="0" maxValue="0"/>
    </cacheField>
    <cacheField name="Med Death" numFmtId="164">
      <sharedItems containsString="0" containsBlank="1" containsNumber="1" containsInteger="1" minValue="0" maxValue="0"/>
    </cacheField>
    <cacheField name="Ind pt" numFmtId="164">
      <sharedItems containsString="0" containsBlank="1" containsNumber="1" containsInteger="1" minValue="0" maxValue="0"/>
    </cacheField>
    <cacheField name="Med pt" numFmtId="164">
      <sharedItems containsString="0" containsBlank="1" containsNumber="1" containsInteger="1" minValue="0" maxValue="0"/>
    </cacheField>
    <cacheField name="Ind Maj" numFmtId="164">
      <sharedItems containsString="0" containsBlank="1" containsNumber="1" containsInteger="1" minValue="252605" maxValue="252605"/>
    </cacheField>
    <cacheField name="Med Maj" numFmtId="164">
      <sharedItems containsString="0" containsBlank="1" containsNumber="1" containsInteger="1" minValue="251819" maxValue="251819"/>
    </cacheField>
    <cacheField name="Ind Min" numFmtId="164">
      <sharedItems containsString="0" containsBlank="1" containsNumber="1" containsInteger="1" minValue="0" maxValue="0"/>
    </cacheField>
    <cacheField name="Med Min" numFmtId="164">
      <sharedItems containsString="0" containsBlank="1" containsNumber="1" containsInteger="1" minValue="0" maxValue="0"/>
    </cacheField>
    <cacheField name="Ind TT" numFmtId="164">
      <sharedItems containsString="0" containsBlank="1" containsNumber="1" containsInteger="1" minValue="0" maxValue="0"/>
    </cacheField>
    <cacheField name="Med TT" numFmtId="164">
      <sharedItems containsString="0" containsBlank="1" containsNumber="1" containsInteger="1" minValue="0" maxValue="0"/>
    </cacheField>
    <cacheField name="Total" numFmtId="164">
      <sharedItems containsString="0" containsBlank="1" containsNumber="1" containsInteger="1" minValue="504424" maxValue="504424"/>
    </cacheField>
    <cacheField name="Capped Amt" numFmtId="164">
      <sharedItems containsNonDate="0" containsString="0" containsBlank="1"/>
    </cacheField>
    <cacheField name="Class2" numFmtId="164">
      <sharedItems containsBlank="1" containsMixedTypes="1" containsNumber="1" containsInteger="1" minValue="0" maxValue="2651" count="66">
        <s v="6843f"/>
        <s v="0f"/>
        <m/>
        <n v="0" u="1"/>
        <n v="581" u="1"/>
        <n v="652" u="1"/>
        <n v="865" u="1"/>
        <n v="555" u="1"/>
        <n v="897" u="1"/>
        <n v="813" u="1"/>
        <n v="658" u="1"/>
        <n v="104" u="1"/>
        <n v="259" u="1"/>
        <n v="916" u="1"/>
        <n v="5" u="1"/>
        <n v="961" u="1"/>
        <n v="806" u="1"/>
        <n v="948" u="1"/>
        <n v="941" u="1"/>
        <n v="857" u="1"/>
        <n v="928" u="1"/>
        <n v="986" u="1"/>
        <n v="141" u="1"/>
        <n v="960" u="1"/>
        <n v="6" u="1"/>
        <n v="663" u="1"/>
        <n v="934" u="1"/>
        <n v="753" u="1"/>
        <n v="811" u="1"/>
        <n v="953" u="1"/>
        <n v="675" u="1"/>
        <n v="959" u="1"/>
        <n v="2651" u="1"/>
        <n v="445" u="1"/>
        <n v="649" u="1"/>
        <n v="119" u="1"/>
        <n v="506" u="1"/>
        <n v="571" u="1"/>
        <n v="855" u="1"/>
        <n v="926" u="1"/>
        <n v="603" u="1"/>
        <n v="958" u="1"/>
        <n v="661" u="1"/>
        <n v="648" u="1"/>
        <n v="454" u="1"/>
        <n v="609" u="1"/>
        <n v="880" u="1"/>
        <n v="951" u="1"/>
        <n v="925" u="1"/>
        <n v="815" u="1"/>
        <n v="957" u="1"/>
        <n v="976" u="1"/>
        <n v="653" u="1"/>
        <n v="924" u="1"/>
        <n v="898" u="1"/>
        <n v="969" u="1"/>
        <n v="601" u="1"/>
        <n v="814" u="1"/>
        <n v="956" u="1"/>
        <n v="659" u="1"/>
        <n v="801" u="1"/>
        <n v="943" u="1"/>
        <n v="917" u="1"/>
        <n v="988" u="1"/>
        <n v="12" u="1"/>
        <n v="807" u="1"/>
      </sharedItems>
    </cacheField>
  </cacheFields>
  <extLst>
    <ext xmlns:x14="http://schemas.microsoft.com/office/spreadsheetml/2009/9/main" uri="{725AE2AE-9491-48be-B2B4-4EB974FC3084}">
      <x14:pivotCacheDefinition/>
    </ext>
  </extLst>
</pivotCacheDefinition>
</file>

<file path=xl/pivotCache/pivotCacheDefinition3.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Mathis" refreshedDate="44894.529720486113" createdVersion="7" refreshedVersion="8" minRefreshableVersion="3" recordCount="1389" xr:uid="{FCE12FCB-0A31-4797-B68A-9408228D46EC}">
  <cacheSource type="worksheet">
    <worksheetSource ref="AR4:BG2000" sheet="Translated Loss"/>
  </cacheSource>
  <cacheFields count="16">
    <cacheField name="Class" numFmtId="164">
      <sharedItems containsBlank="1" containsMixedTypes="1" containsNumber="1" containsInteger="1" minValue="0" maxValue="9108" count="337">
        <s v="6843F"/>
        <s v="7309F"/>
        <s v="7313F"/>
        <s v="7317F"/>
        <s v="7327F"/>
        <s v="7366F"/>
        <s v="8709F"/>
        <s v="6872F"/>
        <s v="6826F"/>
        <s v="6824F"/>
        <m/>
        <n v="0" u="1"/>
        <n v="511" u="1"/>
        <n v="581" u="1"/>
        <n v="652" u="1"/>
        <n v="865" u="1"/>
        <n v="936" u="1"/>
        <n v="2914" u="1"/>
        <n v="327" u="1"/>
        <n v="923" u="1"/>
        <n v="34" u="1"/>
        <n v="285" u="1"/>
        <n v="555" u="1"/>
        <n v="910" u="1"/>
        <n v="981" u="1"/>
        <n v="456" u="1"/>
        <n v="755" u="1"/>
        <n v="897" u="1"/>
        <n v="968" u="1"/>
        <n v="2403" u="1"/>
        <n v="7313" u="1"/>
        <n v="13" u="1"/>
        <n v="59" u="1"/>
        <n v="485" u="1"/>
        <n v="813" u="1"/>
        <n v="884" u="1"/>
        <n v="955" u="1"/>
        <n v="36" u="1"/>
        <n v="658" u="1"/>
        <n v="942" u="1"/>
        <n v="104" u="1"/>
        <n v="222" u="1"/>
        <n v="259" u="1"/>
        <n v="472" u="1"/>
        <n v="645" u="1"/>
        <n v="716" u="1"/>
        <n v="858" u="1"/>
        <n v="929" u="1"/>
        <n v="501" u="1"/>
        <n v="916" u="1"/>
        <n v="6826" u="1"/>
        <n v="83" u="1"/>
        <n v="459" u="1"/>
        <n v="903" u="1"/>
        <n v="974" u="1"/>
        <n v="5" u="1"/>
        <n v="108" u="1"/>
        <n v="488" u="1"/>
        <n v="535" u="1"/>
        <n v="677" u="1"/>
        <n v="819" u="1"/>
        <n v="890" u="1"/>
        <n v="961" u="1"/>
        <n v="446" u="1"/>
        <n v="664" u="1"/>
        <n v="806" u="1"/>
        <n v="948" u="1"/>
        <n v="7366" u="1"/>
        <n v="404" u="1"/>
        <n v="475" u="1"/>
        <n v="651" u="1"/>
        <n v="935" u="1"/>
        <n v="4777" u="1"/>
        <n v="112" u="1"/>
        <n v="433" u="1"/>
        <n v="709" u="1"/>
        <n v="922" u="1"/>
        <n v="625" u="1"/>
        <n v="909" u="1"/>
        <n v="980" u="1"/>
        <n v="2451" u="1"/>
        <n v="825" u="1"/>
        <n v="896" u="1"/>
        <n v="967" u="1"/>
        <n v="449" u="1"/>
        <n v="670" u="1"/>
        <n v="812" u="1"/>
        <n v="954" u="1"/>
        <n v="225" u="1"/>
        <n v="265" u="1"/>
        <n v="407" u="1"/>
        <n v="657" u="1"/>
        <n v="941" u="1"/>
        <n v="204" u="1"/>
        <n v="507" u="1"/>
        <n v="573" u="1"/>
        <n v="857" u="1"/>
        <n v="928" u="1"/>
        <n v="999" u="1"/>
        <n v="323" u="1"/>
        <n v="465" u="1"/>
        <n v="915" u="1"/>
        <n v="986" u="1"/>
        <n v="2475" u="1"/>
        <n v="281" u="1"/>
        <n v="973" u="1"/>
        <n v="2281" u="1"/>
        <n v="7424" u="1"/>
        <n v="141" u="1"/>
        <n v="605" u="1"/>
        <n v="676" u="1"/>
        <n v="818" u="1"/>
        <n v="889" u="1"/>
        <n v="960" u="1"/>
        <n v="6" u="1"/>
        <n v="663" u="1"/>
        <n v="805" u="1"/>
        <n v="947" u="1"/>
        <n v="16" u="1"/>
        <n v="721" u="1"/>
        <n v="934" u="1"/>
        <n v="921" u="1"/>
        <n v="992" u="1"/>
        <n v="553" u="1"/>
        <n v="908" u="1"/>
        <n v="979" u="1"/>
        <n v="611" u="1"/>
        <n v="682" u="1"/>
        <n v="753" u="1"/>
        <n v="966" u="1"/>
        <n v="107" u="1"/>
        <n v="413" u="1"/>
        <n v="669" u="1"/>
        <n v="811" u="1"/>
        <n v="882" u="1"/>
        <n v="953" u="1"/>
        <n v="136" u="1"/>
        <n v="656" u="1"/>
        <n v="940" u="1"/>
        <n v="471" u="1"/>
        <n v="643" u="1"/>
        <n v="927" u="1"/>
        <n v="6843" u="1"/>
        <n v="111" u="1"/>
        <n v="165" u="1"/>
        <n v="914" u="1"/>
        <n v="985" u="1"/>
        <n v="458" u="1"/>
        <n v="617" u="1"/>
        <n v="759" u="1"/>
        <n v="416" u="1"/>
        <n v="487" u="1"/>
        <n v="675" u="1"/>
        <n v="817" u="1"/>
        <n v="888" u="1"/>
        <n v="959" u="1"/>
        <n v="2651" u="1"/>
        <n v="445" u="1"/>
        <n v="662" u="1"/>
        <n v="804" u="1"/>
        <n v="946" u="1"/>
        <n v="7421" u="1"/>
        <n v="8709" u="1"/>
        <n v="7" u="1"/>
        <n v="261" u="1"/>
        <n v="474" u="1"/>
        <n v="649" u="1"/>
        <n v="862" u="1"/>
        <n v="933" u="1"/>
        <n v="7317" u="1"/>
        <n v="920" u="1"/>
        <n v="991" u="1"/>
        <n v="2921" u="1"/>
        <n v="119" u="1"/>
        <n v="319" u="1"/>
        <n v="461" u="1"/>
        <n v="907" u="1"/>
        <n v="978" u="1"/>
        <n v="681" u="1"/>
        <n v="752" u="1"/>
        <n v="965" u="1"/>
        <n v="2107" u="1"/>
        <n v="139" u="1"/>
        <n v="306" u="1"/>
        <n v="668" u="1"/>
        <n v="952" u="1"/>
        <n v="7327" u="1"/>
        <n v="477" u="1"/>
        <n v="655" u="1"/>
        <n v="939" u="1"/>
        <n v="2926" u="1"/>
        <n v="506" u="1"/>
        <n v="571" u="1"/>
        <n v="855" u="1"/>
        <n v="926" u="1"/>
        <n v="997" u="1"/>
        <n v="2661" u="1"/>
        <n v="464" u="1"/>
        <n v="913" u="1"/>
        <n v="984" u="1"/>
        <n v="2609" u="1"/>
        <n v="971" u="1"/>
        <n v="451" u="1"/>
        <n v="603" u="1"/>
        <n v="674" u="1"/>
        <n v="816" u="1"/>
        <n v="887" u="1"/>
        <n v="958" u="1"/>
        <n v="2221" u="1"/>
        <n v="106" u="1"/>
        <n v="661" u="1"/>
        <n v="945" u="1"/>
        <n v="7413" u="1"/>
        <n v="134" u="1"/>
        <n v="205" u="1"/>
        <n v="648" u="1"/>
        <n v="932" u="1"/>
        <n v="2472" u="1"/>
        <n v="7309" u="1"/>
        <n v="8" u="1"/>
        <n v="255" u="1"/>
        <n v="919" u="1"/>
        <n v="110" u="1"/>
        <n v="163" u="1"/>
        <n v="551" u="1"/>
        <n v="977" u="1"/>
        <n v="142" u="1"/>
        <n v="454" u="1"/>
        <n v="609" u="1"/>
        <n v="751" u="1"/>
        <n v="964" u="1"/>
        <n v="2813" u="1"/>
        <n v="483" u="1"/>
        <n v="667" u="1"/>
        <n v="809" u="1"/>
        <n v="880" u="1"/>
        <n v="951" u="1"/>
        <n v="114" u="1"/>
        <n v="441" u="1"/>
        <n v="654" u="1"/>
        <n v="7428" u="1"/>
        <n v="221" u="1"/>
        <n v="257" u="1"/>
        <n v="925" u="1"/>
        <n v="9" u="1"/>
        <n v="912" u="1"/>
        <n v="983" u="1"/>
        <n v="457" u="1"/>
        <n v="544" u="1"/>
        <n v="757" u="1"/>
        <n v="828" u="1"/>
        <n v="899" u="1"/>
        <n v="415" u="1"/>
        <n v="486" u="1"/>
        <n v="673" u="1"/>
        <n v="744" u="1"/>
        <n v="815" u="1"/>
        <n v="886" u="1"/>
        <n v="957" u="1"/>
        <n v="660" u="1"/>
        <n v="802" u="1"/>
        <n v="944" u="1"/>
        <n v="7405" u="1"/>
        <n v="402" u="1"/>
        <n v="473" u="1"/>
        <n v="647" u="1"/>
        <n v="718" u="1"/>
        <n v="860" u="1"/>
        <n v="2965" u="1"/>
        <n v="9108" u="1"/>
        <n v="166" u="1"/>
        <n v="563" u="1"/>
        <n v="918" u="1"/>
        <n v="101" u="1"/>
        <n v="905" u="1"/>
        <n v="976" u="1"/>
        <n v="2222" u="1"/>
        <n v="489" u="1"/>
        <n v="608" u="1"/>
        <n v="679" u="1"/>
        <n v="821" u="1"/>
        <n v="963" u="1"/>
        <n v="305" u="1"/>
        <n v="666" u="1"/>
        <n v="808" u="1"/>
        <n v="7453" u="1"/>
        <n v="105" u="1"/>
        <n v="263" u="1"/>
        <n v="476" u="1"/>
        <n v="653" u="1"/>
        <n v="937" u="1"/>
        <n v="2563" u="1"/>
        <n v="132" u="1"/>
        <n v="924" u="1"/>
        <n v="995" u="1"/>
        <n v="463" u="1"/>
        <n v="911" u="1"/>
        <n v="2104" u="1"/>
        <n v="11" u="1"/>
        <n v="109" u="1"/>
        <n v="161" u="1"/>
        <n v="898" u="1"/>
        <n v="969" u="1"/>
        <n v="6824" u="1"/>
        <n v="601" u="1"/>
        <n v="814" u="1"/>
        <n v="885" u="1"/>
        <n v="956" u="1"/>
        <n v="2923" u="1"/>
        <n v="659" u="1"/>
        <n v="801" u="1"/>
        <n v="943" u="1"/>
        <n v="2161" u="1"/>
        <n v="113" u="1"/>
        <n v="646" u="1"/>
        <n v="859" u="1"/>
        <n v="917" u="1"/>
        <n v="988" u="1"/>
        <n v="282" u="1"/>
        <n v="904" u="1"/>
        <n v="975" u="1"/>
        <n v="2928" u="1"/>
        <n v="6872" u="1"/>
        <n v="12" u="1"/>
        <n v="55" u="1"/>
        <n v="311" u="1"/>
        <n v="536" u="1"/>
        <n v="607" u="1"/>
        <n v="820" u="1"/>
        <n v="891" u="1"/>
        <n v="962" u="1"/>
        <n v="227" u="1"/>
        <n v="411" u="1"/>
        <n v="665" u="1"/>
        <n v="807" u="1"/>
        <n v="949" u="1"/>
        <n v="7445" u="1"/>
      </sharedItems>
    </cacheField>
    <cacheField name="PY" numFmtId="164">
      <sharedItems containsString="0" containsBlank="1" containsNumber="1" containsInteger="1" minValue="2015" maxValue="2019"/>
    </cacheField>
    <cacheField name="DEATH" numFmtId="0">
      <sharedItems containsString="0" containsBlank="1" containsNumber="1" containsInteger="1" minValue="0" maxValue="0"/>
    </cacheField>
    <cacheField name="P.T." numFmtId="0">
      <sharedItems containsString="0" containsBlank="1" containsNumber="1" containsInteger="1" minValue="0" maxValue="0"/>
    </cacheField>
    <cacheField name="MAJOR" numFmtId="0">
      <sharedItems containsString="0" containsBlank="1" containsNumber="1" minValue="0" maxValue="2000818.0079999999"/>
    </cacheField>
    <cacheField name="MINOR" numFmtId="0">
      <sharedItems containsString="0" containsBlank="1" containsNumber="1" minValue="0" maxValue="533263.95420000004"/>
    </cacheField>
    <cacheField name="TEMP" numFmtId="0">
      <sharedItems containsString="0" containsBlank="1" containsNumber="1" minValue="0" maxValue="861013.24800000002"/>
    </cacheField>
    <cacheField name="DEATH2" numFmtId="0">
      <sharedItems containsString="0" containsBlank="1" containsNumber="1" containsInteger="1" minValue="0" maxValue="0"/>
    </cacheField>
    <cacheField name="P.T.2" numFmtId="0">
      <sharedItems containsString="0" containsBlank="1" containsNumber="1" containsInteger="1" minValue="0" maxValue="0"/>
    </cacheField>
    <cacheField name="MAJOR2" numFmtId="0">
      <sharedItems containsString="0" containsBlank="1" containsNumber="1" minValue="0" maxValue="730277.1372"/>
    </cacheField>
    <cacheField name="MINOR2" numFmtId="0">
      <sharedItems containsString="0" containsBlank="1" containsNumber="1" minValue="0" maxValue="186742.60500000001"/>
    </cacheField>
    <cacheField name="TEMP2" numFmtId="0">
      <sharedItems containsString="0" containsBlank="1" containsNumber="1" minValue="0" maxValue="238363.0497"/>
    </cacheField>
    <cacheField name="MO" numFmtId="0">
      <sharedItems containsString="0" containsBlank="1" containsNumber="1" minValue="0" maxValue="40464.535000000003"/>
    </cacheField>
    <cacheField name="Serious" numFmtId="0">
      <sharedItems containsString="0" containsBlank="1" containsNumber="1" minValue="0" maxValue="2688889.02"/>
    </cacheField>
    <cacheField name="Non-Serious" numFmtId="164">
      <sharedItems containsString="0" containsBlank="1" containsNumber="1" minValue="0" maxValue="1270191.4828999999"/>
    </cacheField>
    <cacheField name="MO2" numFmtId="164">
      <sharedItems containsString="0" containsBlank="1" containsNumber="1" minValue="0" maxValue="40464.535000000003"/>
    </cacheField>
  </cacheFields>
  <extLst>
    <ext xmlns:x14="http://schemas.microsoft.com/office/spreadsheetml/2009/9/main" uri="{725AE2AE-9491-48be-B2B4-4EB974FC3084}">
      <x14:pivotCacheDefinition/>
    </ext>
  </extLst>
</pivotCacheDefinition>
</file>

<file path=xl/pivotCache/pivotCacheDefinition4.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Mathis" refreshedDate="44894.532213078703" createdVersion="7" refreshedVersion="8" minRefreshableVersion="3" recordCount="11" xr:uid="{8C25FC31-8EE0-457B-ABFA-BBD708A07429}">
  <cacheSource type="worksheet">
    <worksheetSource ref="B6:O17" sheet="Exp Loss Report"/>
  </cacheSource>
  <cacheFields count="14">
    <cacheField name="IG" numFmtId="164">
      <sharedItems containsSemiMixedTypes="0" containsString="0" containsNumber="1" containsInteger="1" minValue="1" maxValue="6" count="4">
        <n v="6"/>
        <n v="2" u="1"/>
        <n v="1" u="1"/>
        <n v="3" u="1"/>
      </sharedItems>
    </cacheField>
    <cacheField name="TYPE" numFmtId="164">
      <sharedItems containsSemiMixedTypes="0" containsString="0" containsNumber="1" containsInteger="1" minValue="1" maxValue="1"/>
    </cacheField>
    <cacheField name="PURE PREMIUM" numFmtId="169">
      <sharedItems containsSemiMixedTypes="0" containsString="0" containsNumber="1" minValue="0" maxValue="7.1820000000000004"/>
    </cacheField>
    <cacheField name="Expected Losses" numFmtId="168">
      <sharedItems containsSemiMixedTypes="0" containsString="0" containsNumber="1" minValue="0" maxValue="3090055.5"/>
    </cacheField>
    <cacheField name="PURE PREMIUM2" numFmtId="169">
      <sharedItems containsSemiMixedTypes="0" containsString="0" containsNumber="1" minValue="0" maxValue="336.30900000000003"/>
    </cacheField>
    <cacheField name="Expected Losses2" numFmtId="168">
      <sharedItems containsSemiMixedTypes="0" containsString="0" containsNumber="1" minValue="0" maxValue="3634028.9999999995"/>
    </cacheField>
    <cacheField name="PURE PREMIUM3" numFmtId="169">
      <sharedItems containsSemiMixedTypes="0" containsString="0" containsNumber="1" minValue="0" maxValue="0.14899999999999999"/>
    </cacheField>
    <cacheField name="Expected Losses3" numFmtId="168">
      <sharedItems containsSemiMixedTypes="0" containsString="0" containsNumber="1" minValue="0" maxValue="87231.200000000012"/>
    </cacheField>
    <cacheField name="PURE PREMIUM4" numFmtId="169">
      <sharedItems containsSemiMixedTypes="0" containsString="0" containsNumber="1" minValue="1.9204069564067585" maxValue="26.24106935860797"/>
    </cacheField>
    <cacheField name="PAYROLL" numFmtId="168">
      <sharedItems containsSemiMixedTypes="0" containsString="0" containsNumber="1" minValue="10830.953607335121" maxValue="11290220.091541078"/>
    </cacheField>
    <cacheField name="PURE PREMIUM5" numFmtId="169">
      <sharedItems containsSemiMixedTypes="0" containsString="0" containsNumber="1" minValue="0.36135589318314809" maxValue="4.9443142769340902"/>
    </cacheField>
    <cacheField name="PAYROLL2" numFmtId="168">
      <sharedItems containsSemiMixedTypes="0" containsString="0" containsNumber="1" minValue="2162.4623381254282" maxValue="2127291.2176508922"/>
    </cacheField>
    <cacheField name="PURE PREMIUM6" numFmtId="169">
      <sharedItems containsSemiMixedTypes="0" containsString="0" containsNumber="1" minValue="2.0473421710093375E-2" maxValue="0.24047707065793808"/>
    </cacheField>
    <cacheField name="PAYROLL3" numFmtId="168">
      <sharedItems containsSemiMixedTypes="0" containsString="0" containsNumber="1" minValue="124.9008419434515" maxValue="103465.25965057786"/>
    </cacheField>
  </cacheFields>
  <extLst>
    <ext xmlns:x14="http://schemas.microsoft.com/office/spreadsheetml/2009/9/main" uri="{725AE2AE-9491-48be-B2B4-4EB974FC3084}">
      <x14:pivotCacheDefinition/>
    </ext>
  </extLst>
</pivotCacheDefinition>
</file>

<file path=xl/pivotCache/pivotCacheDefinition5.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Mathis" refreshedDate="44895.492859259262" createdVersion="7" refreshedVersion="8" minRefreshableVersion="3" recordCount="11" xr:uid="{23311C04-A075-425B-A1E8-A302E8BDAA99}">
  <cacheSource type="worksheet">
    <worksheetSource ref="N7:O18" sheet="Pure Prem Test"/>
  </cacheSource>
  <cacheFields count="2">
    <cacheField name="Difference" numFmtId="164">
      <sharedItems containsSemiMixedTypes="0" containsString="0" containsNumber="1" containsInteger="1" minValue="0" maxValue="0"/>
    </cacheField>
    <cacheField name="R/NR" numFmtId="164">
      <sharedItems containsNonDate="0" containsString="0" containsBlank="1" containsNumber="1" containsInteger="1" minValue="0" maxValue="0" count="2">
        <m/>
        <n v="0" u="1"/>
      </sharedItems>
    </cacheField>
  </cacheFields>
  <extLst>
    <ext xmlns:x14="http://schemas.microsoft.com/office/spreadsheetml/2009/9/main" uri="{725AE2AE-9491-48be-B2B4-4EB974FC3084}">
      <x14:pivotCacheDefinition/>
    </ext>
  </extLst>
</pivotCacheDefinition>
</file>

<file path=xl/pivotCache/pivotCacheDefinition6.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Mathis" refreshedDate="44895.492900694444" createdVersion="8" refreshedVersion="8" minRefreshableVersion="3" recordCount="11" xr:uid="{BBA9FE05-A382-47E0-8559-E53EC80CE112}">
  <cacheSource type="worksheet">
    <worksheetSource ref="B7:H18" sheet="Pure Prem Test"/>
  </cacheSource>
  <cacheFields count="7">
    <cacheField name="CLASS" numFmtId="164">
      <sharedItems/>
    </cacheField>
    <cacheField name="IG" numFmtId="164">
      <sharedItems containsSemiMixedTypes="0" containsString="0" containsNumber="1" containsInteger="1" minValue="1" maxValue="6" count="4">
        <n v="6"/>
        <n v="3" u="1"/>
        <n v="2" u="1"/>
        <n v="1" u="1"/>
      </sharedItems>
    </cacheField>
    <cacheField name="(EXCL S&amp; C)" numFmtId="164">
      <sharedItems containsSemiMixedTypes="0" containsString="0" containsNumber="1" containsInteger="1" minValue="75" maxValue="49752"/>
    </cacheField>
    <cacheField name="Pure Premium" numFmtId="169">
      <sharedItems containsSemiMixedTypes="0" containsString="0" containsNumber="1" minValue="2.3022362713" maxValue="31.425860706199998"/>
    </cacheField>
    <cacheField name="LOSSES" numFmtId="168">
      <sharedItems containsSemiMixedTypes="0" containsString="0" containsNumber="1" minValue="0" maxValue="15598021.81559895" count="373">
        <n v="6780.253620456001"/>
        <n v="5225.33800935"/>
        <n v="20049.994461156002"/>
        <n v="41532.208093070003"/>
        <n v="5251889.8412201442"/>
        <n v="1457624.3144514996"/>
        <n v="673575.53534466401"/>
        <n v="3150388.7050825679"/>
        <n v="4067369.2777001755"/>
        <n v="472368.13970396406"/>
        <n v="2946.862427264"/>
        <n v="0" u="1"/>
        <n v="1167464.1261113996" u="1"/>
        <n v="1776984.4934682746" u="1"/>
        <n v="704.60499915000003" u="1"/>
        <n v="3960660.6553705214" u="1"/>
        <n v="3530370.2143787993" u="1"/>
        <n v="15180.113777399994" u="1"/>
        <n v="71617.450179599997" u="1"/>
        <n v="666426.45175469993" u="1"/>
        <n v="1456443.0162827999" u="1"/>
        <n v="2227628.1327241501" u="1"/>
        <n v="17715.927563099998" u="1"/>
        <n v="1938053.5619444996" u="1"/>
        <n v="84303.970241400006" u="1"/>
        <n v="11841584.851585124" u="1"/>
        <n v="9940.8458155499993" u="1"/>
        <n v="33830.820223199997" u="1"/>
        <n v="1746051.8152398746" u="1"/>
        <n v="1055762.9260541999" u="1"/>
        <n v="1980801.3646511999" u="1"/>
        <n v="436957.85395079997" u="1"/>
        <n v="11572.654485599996" u="1"/>
        <n v="1072595.4989197501" u="1"/>
        <n v="25263.795445199998" u="1"/>
        <n v="13553805.423453748" u="1"/>
        <n v="602.23339703999989" u="1"/>
        <n v="46802.789560799982" u="1"/>
        <n v="197.19980280000001" u="1"/>
        <n v="642645.81546239997" u="1"/>
        <n v="3279660.6539267991" u="1"/>
        <n v="2169191.2398974998" u="1"/>
        <n v="8758915.7478936743" u="1"/>
        <n v="151770.70110734997" u="1"/>
        <n v="213389.03661074996" u="1"/>
        <n v="8757.2662427249979" u="1"/>
        <n v="3312221.6695931996" u="1"/>
        <n v="24.032776949999995" u="1"/>
        <n v="159271.20209227502" u="1"/>
        <n v="186458.01581452496" u="1"/>
        <n v="988574.21142479975" u="1"/>
        <n v="108405.27172800002" u="1"/>
        <n v="1405489.1967821242" u="1"/>
        <n v="354041.47079145006" u="1"/>
        <n v="253999.47554572503" u="1"/>
        <n v="15850.580866560002" u="1"/>
        <n v="35283.985409280001" u="1"/>
        <n v="149109.94179899993" u="1"/>
        <n v="882343.62674640003" u="1"/>
        <n v="697162.99374539987" u="1"/>
        <n v="433432.31423309993" u="1"/>
        <n v="717945.35245582485" u="1"/>
        <n v="270969.05356560001" u="1"/>
        <n v="268244.28823139996" u="1"/>
        <n v="882322.20667305007" u="1"/>
        <n v="6143243.9862953238" u="1"/>
        <n v="19267.983434699996" u="1"/>
        <n v="160030.60332479997" u="1"/>
        <n v="705314.02877617488" u="1"/>
        <n v="190840.63643189994" u="1"/>
        <n v="278309.03078160004" u="1"/>
        <n v="405954.97058024985" u="1"/>
        <n v="2113769.2635013498" u="1"/>
        <n v="10453985.671003874" u="1"/>
        <n v="1777531.1598135" u="1"/>
        <n v="1200326.3973996751" u="1"/>
        <n v="121769.69666647499" u="1"/>
        <n v="122641.40463119997" u="1"/>
        <n v="1775532.1618300495" u="1"/>
        <n v="520849.89278594992" u="1"/>
        <n v="343531.020105" u="1"/>
        <n v="6341.9274239999995" u="1"/>
        <n v="542385.93034080009" u="1"/>
        <n v="3076.831014075" u="1"/>
        <n v="1273468.222379925" u="1"/>
        <n v="929148.46591905004" u="1"/>
        <n v="21376.6766928" u="1"/>
        <n v="969346.91739307484" u="1"/>
        <n v="15598021.81559895" u="1"/>
        <n v="2088795.9384746999" u="1"/>
        <n v="5198250.1842911253" u="1"/>
        <n v="1025.6103380249999" u="1"/>
        <n v="111465.67262512499" u="1"/>
        <n v="506545.19973719993" u="1"/>
        <n v="12698534.324180245" u="1"/>
        <n v="2004162.4231082997" u="1"/>
        <n v="6231.2814459720003" u="1"/>
        <n v="271569.76042364998" u="1"/>
        <n v="28623.206195999999" u="1"/>
        <n v="788303.61809257488" u="1"/>
        <n v="21343.244679899995" u="1"/>
        <n v="59130.762209999994" u="1"/>
        <n v="98182.461738240003" u="1"/>
        <n v="9530450.5251488388" u="1"/>
        <n v="9506.736193499999" u="1"/>
        <n v="487845.75079012493" u="1"/>
        <n v="93675.96996029999" u="1"/>
        <n v="498417.94657116005" u="1"/>
        <n v="729.90616320000015" u="1"/>
        <n v="6268482.9315107986" u="1"/>
        <n v="1236397.4840558253" u="1"/>
        <n v="83972.773977299978" u="1"/>
        <n v="3255955.9258589991" u="1"/>
        <n v="48458.358359775004" u="1"/>
        <n v="720046.21177124977" u="1"/>
        <n v="7237802.9202979486" u="1"/>
        <n v="11593876.787929798" u="1"/>
        <n v="14163700.913557649" u="1"/>
        <n v="6033644.0663498994" u="1"/>
        <n v="29202.377615775004" u="1"/>
        <n v="2137306.2749415003" u="1"/>
        <n v="288031.33696837496" u="1"/>
        <n v="21133.253366549994" u="1"/>
        <n v="2811995.9846666995" u="1"/>
        <n v="2595.1826730059997" u="1"/>
        <n v="1762877.5563204" u="1"/>
        <n v="122.74698239999999" u="1"/>
        <n v="3719103.6536198999" u="1"/>
        <n v="3320122.2494475595" u="1"/>
        <n v="152461.98105599999" u="1"/>
        <n v="50773.321813499992" u="1"/>
        <n v="138702.3794793" u="1"/>
        <n v="140858.35185824998" u="1"/>
        <n v="511355.43409859994" u="1"/>
        <n v="1861.3864151999999" u="1"/>
        <n v="994455.54564525012" u="1"/>
        <n v="345799.34510939993" u="1"/>
        <n v="2322664.5361608006" u="1"/>
        <n v="12084.940986300004" u="1"/>
        <n v="2709.9154718999998" u="1"/>
        <n v="503697.22108290001" u="1"/>
        <n v="3748769.9025235195" u="1"/>
        <n v="1658.3741752499998" u="1"/>
        <n v="447967.69794269995" u="1"/>
        <n v="22557.885189840003" u="1"/>
        <n v="103823.5164642" u="1"/>
        <n v="159678.12441262495" u="1"/>
        <n v="27633.753692999999" u="1"/>
        <n v="1385791.1642074501" u="1"/>
        <n v="1396520.4669389995" u="1"/>
        <n v="27862.262064000006" u="1"/>
        <n v="92530.998377999989" u="1"/>
        <n v="36233.012319075002" u="1"/>
        <n v="6051.8044202400006" u="1"/>
        <n v="77795.055795599983" u="1"/>
        <n v="311923.68260328006" u="1"/>
        <n v="2961.9412640999999" u="1"/>
        <n v="465611.83981942502" u="1"/>
        <n v="228447.53518859998" u="1"/>
        <n v="455449.29000479996" u="1"/>
        <n v="1060579.7553282748" u="1"/>
        <n v="829086.30257309997" u="1"/>
        <n v="4735646.8870756496" u="1"/>
        <n v="79004.405393549998" u="1"/>
        <n v="17091.187928099993" u="1"/>
        <n v="15388.068887099998" u="1"/>
        <n v="24905.161125000006" u="1"/>
        <n v="2352952.7197722001" u="1"/>
        <n v="10634.306810399998" u="1"/>
        <n v="117856.2879" u="1"/>
        <n v="128591.14413599999" u="1"/>
        <n v="1294674.39855" u="1"/>
        <n v="66800.162732640005" u="1"/>
        <n v="16498.529517599996" u="1"/>
        <n v="18819.521685899996" u="1"/>
        <n v="463084.32327884994" u="1"/>
        <n v="847729.13486040011" u="1"/>
        <n v="4572909.5952676507" u="1"/>
        <n v="81140.472229050007" u="1"/>
        <n v="1878320.8716772499" u="1"/>
        <n v="7647.7136579999988" u="1"/>
        <n v="4715542.646856959" u="1"/>
        <n v="9578585.4941322021" u="1"/>
        <n v="3846240.4492102494" u="1"/>
        <n v="27775.586475" u="1"/>
        <n v="322394.85260482505" u="1"/>
        <n v="1995519.3656228997" u="1"/>
        <n v="6422120.0324189989" u="1"/>
        <n v="14219.805749040002" u="1"/>
        <n v="1027171.8594803248" u="1"/>
        <n v="956869.68574079964" u="1"/>
        <n v="1604825.7712343999" u="1"/>
        <n v="6488784.1112094" u="1"/>
        <n v="367000.23527212499" u="1"/>
        <n v="3437.1936494999995" u="1"/>
        <n v="40914.843184799989" u="1"/>
        <n v="1946636.8942702501" u="1"/>
        <n v="1692741.6208930502" u="1"/>
        <n v="114059.00752740001" u="1"/>
        <n v="273502.57975267497" u="1"/>
        <n v="4193275.5629153997" u="1"/>
        <n v="276974.43893437501" u="1"/>
        <n v="3391601.1640289994" u="1"/>
        <n v="339140.30483970005" u="1"/>
        <n v="1439162.7108358499" u="1"/>
        <n v="179439.49556032493" u="1"/>
        <n v="493933.16986064997" u="1"/>
        <n v="5544679.3948201481" u="1"/>
        <n v="1284804.65929725" u="1"/>
        <n v="9235673.491589997" u="1"/>
        <n v="268006.13199359999" u="1"/>
        <n v="3323397.1379631748" u="1"/>
        <n v="10893137.504578875" u="1"/>
        <n v="3079.1452536000002" u="1"/>
        <n v="2621407.1683409996" u="1"/>
        <n v="423843.80342849996" u="1"/>
        <n v="5171248.8062956817" u="1"/>
        <n v="293701.16465235001" u="1"/>
        <n v="7436.5945813199996" u="1"/>
        <n v="13129.26926805" u="1"/>
        <n v="4245407.7159516746" u="1"/>
        <n v="72.990616320000015" u="1"/>
        <n v="41678.626503150001" u="1"/>
        <n v="413593.63186050003" u="1"/>
        <n v="39345.522316800001" u="1"/>
        <n v="115411.86744164999" u="1"/>
        <n v="2426190.5647161002" u="1"/>
        <n v="1051127.25003" u="1"/>
        <n v="135907.32355200002" u="1"/>
        <n v="985.58399596799984" u="1"/>
        <n v="118267.54991415002" u="1"/>
        <n v="1945404.0000485997" u="1"/>
        <n v="567564.45460942492" u="1"/>
        <n v="1357099.581535425" u="1"/>
        <n v="380957.85540539993" u="1"/>
        <n v="405.23651999999998" u="1"/>
        <n v="7172902.7861809498" u="1"/>
        <n v="2462.9436593999999" u="1"/>
        <n v="73287.700036200011" u="1"/>
        <n v="1281219.9832574998" u="1"/>
        <n v="655562.14984260011" u="1"/>
        <n v="82774.617225299997" u="1"/>
        <n v="320305.91532029997" u="1"/>
        <n v="146.71348964999999" u="1"/>
        <n v="184632.45617114994" u="1"/>
        <n v="2659260.3595311595" u="1"/>
        <n v="3263457.6910844995" u="1"/>
        <n v="564357.27531397494" u="1"/>
        <n v="367956.37749780004" u="1"/>
        <n v="9776483.7348701227" u="1"/>
        <n v="37703.543517899991" u="1"/>
        <n v="100412.98347072001" u="1"/>
        <n v="1581375.2403676498" u="1"/>
        <n v="30033.16087589999" u="1"/>
        <n v="335320.64708512498" u="1"/>
        <n v="174455.7852141" u="1"/>
        <n v="5203266.1693155002" u="1"/>
        <n v="3089387.6993771996" u="1"/>
        <n v="461146.33430774999" u="1"/>
        <n v="173753.98533675002" u="1"/>
        <n v="296990.788345812" u="1"/>
        <n v="13882000.467985652" u="1"/>
        <n v="1044007.6559912998" u="1"/>
        <n v="5436008.8412584504" u="1"/>
        <n v="16128.597507749999" u="1"/>
        <n v="1380380.1504626246" u="1"/>
        <n v="14175.185824799999" u="1"/>
        <n v="1213.4415974400001" u="1"/>
        <n v="16400.822489999995" u="1"/>
        <n v="111801.017744325" u="1"/>
        <n v="37931.962068000001" u="1"/>
        <n v="949512.08367359999" u="1"/>
        <n v="25994.571969599998" u="1"/>
        <n v="1970220.3371136002" u="1"/>
        <n v="186681.24968219997" u="1"/>
        <n v="146094.86506679998" u="1"/>
        <n v="1999.3919633999997" u="1"/>
        <n v="639706.73529262492" u="1"/>
        <n v="1928297.7080639999" u="1"/>
        <n v="562588.92517814995" u="1"/>
        <n v="2233082.1305519999" u="1"/>
        <n v="6605394.9867184497" u="1"/>
        <n v="1131.1164364499996" u="1"/>
        <n v="2976.4622393999989" u="1"/>
        <n v="1771965.89646" u="1"/>
        <n v="135738.21075487198" u="1"/>
        <n v="4515.7981869000005" u="1"/>
        <n v="271.13931647999993" u="1"/>
        <n v="6413395.9430247592" u="1"/>
        <n v="3615.1908863999997" u="1"/>
        <n v="174.09742112399996" u="1"/>
        <n v="241481.30851844998" u="1"/>
        <n v="433875.94794180006" u="1"/>
        <n v="2395400.5045970995" u="1"/>
        <n v="1028257.4932314749" u="1"/>
        <n v="1417.14313728" u="1"/>
        <n v="288430.21838767489" u="1"/>
        <n v="2022547.48199595" u="1"/>
        <n v="26896.560923699999" u="1"/>
        <n v="254197.72989292501" u="1"/>
        <n v="1995214.2843291748" u="1"/>
        <n v="194630.66900550004" u="1"/>
        <n v="139627.28223990003" u="1"/>
        <n v="492.4492032" u="1"/>
        <n v="384301.36695552" u="1"/>
        <n v="73892.782925324995" u="1"/>
        <n v="571373.90589825006" u="1"/>
        <n v="2690420.3073042748" u="1"/>
        <n v="278348.12918054999" u="1"/>
        <n v="7683050.4373964258" u="1"/>
        <n v="6252.1301115000006" u="1"/>
        <n v="31405.554548939988" u="1"/>
        <n v="6887.2197887999992" u="1"/>
        <n v="33685.023241848001" u="1"/>
        <n v="9922.0477439999995" u="1"/>
        <n v="302143.44785624999" u="1"/>
        <n v="104504.36367734997" u="1"/>
        <n v="6776844.490725073" u="1"/>
        <n v="31522.335799499997" u="1"/>
        <n v="669425.87548799999" u="1"/>
        <n v="70451.381303550021" u="1"/>
        <n v="159201.16296434999" u="1"/>
        <n v="1215532.1564567997" u="1"/>
        <n v="16678.684615679998" u="1"/>
        <n v="223458.61741515005" u="1"/>
        <n v="137426.74572510005" u="1"/>
        <n v="4606.2499391999982" u="1"/>
        <n v="112566.54424275001" u="1"/>
        <n v="3373828.3511682749" u="1"/>
        <n v="1015417.5073087497" u="1"/>
        <n v="2255005.6078212" u="1"/>
        <n v="8787.7162122749996" u="1"/>
        <n v="574138.06449772511" u="1"/>
        <n v="14284.137067199998" u="1"/>
        <n v="869473.7888265003" u="1"/>
        <n v="54692.890761599992" u="1"/>
        <n v="1463460.7319923495" u="1"/>
        <n v="78531.064650674991" u="1"/>
        <n v="18873.159241949994" u="1"/>
        <n v="65723.218613324992" u="1"/>
        <n v="9571.8544115999994" u="1"/>
        <n v="761603.30743516784" u="1"/>
        <n v="96474.658316399989" u="1"/>
        <n v="20035.062397349997" u="1"/>
        <n v="2374671.3173761494" u="1"/>
        <n v="442546.47790762503" u="1"/>
        <n v="27411.549001199997" u="1"/>
        <n v="42744.010432499992" u="1"/>
        <n v="3057020.8956963001" u="1"/>
        <n v="91398.845771999971" u="1"/>
        <n v="734380.37016434991" u="1"/>
        <n v="203202.56790989998" u="1"/>
        <n v="56675.500142624995" u="1"/>
        <n v="2434980.9801622494" u="1"/>
        <n v="13497.6410478" u="1"/>
        <n v="120315.22933364999" u="1"/>
        <n v="484139.22495120001" u="1"/>
        <n v="7043100.3211081503" u="1"/>
        <n v="228430.30668705" u="1"/>
        <n v="242045.6215905" u="1"/>
        <n v="127493.99428545003" u="1"/>
        <n v="451466.62079512503" u="1"/>
        <n v="2271811.7236405499" u="1"/>
        <n v="146481.95124517498" u="1"/>
        <n v="2732910.7725539999" u="1"/>
        <n v="936.69906330000015" u="1"/>
        <n v="613739.89762312488" u="1"/>
        <n v="704.66128200000003" u="1"/>
        <n v="857789.48311874992" u="1"/>
        <n v="860903.68454999989" u="1"/>
        <n v="270.22700249999997" u="1"/>
        <n v="5555744.0533412993" u="1"/>
        <n v="72060.339926250002" u="1"/>
      </sharedItems>
    </cacheField>
    <cacheField name="PURE PREM" numFmtId="169">
      <sharedItems containsSemiMixedTypes="0" containsString="0" containsNumber="1" minValue="2.302031537082899" maxValue="31.348982340420068"/>
    </cacheField>
    <cacheField name="LOSSES2" numFmtId="168">
      <sharedItems containsSemiMixedTypes="0" containsString="0" containsNumber="1" minValue="0" maxValue="13604616.059999999" count="484">
        <n v="6780.253620456001"/>
        <n v="5225.33800935"/>
        <n v="20212.619497581429"/>
        <n v="41532.208093070003"/>
        <n v="5239041.9287310019"/>
        <n v="1440868.6915593315"/>
        <n v="672821.43506751931"/>
        <n v="3150388.7050825679"/>
        <n v="4055862.0954481042"/>
        <n v="487206.79781955131"/>
        <n v="2946.6003674661106"/>
        <n v="0" u="1"/>
        <n v="222754.15999999997" u="1"/>
        <n v="103065.62" u="1"/>
        <n v="699310.16" u="1"/>
        <n v="2410402" u="1"/>
        <n v="462642.99" u="1"/>
        <n v="185913.19" u="1"/>
        <n v="148527.18" u="1"/>
        <n v="140296.79999999999" u="1"/>
        <n v="13129.390000000001" u="1"/>
        <n v="641706.8632806635" u="1"/>
        <n v="364449.68" u="1"/>
        <n v="7647.2000000000007" u="1"/>
        <n v="417991.2" u="1"/>
        <n v="1341248.2199999997" u="1"/>
        <n v="1555826.4299999997" u="1"/>
        <n v="354146.58" u="1"/>
        <n v="1222506.6000000001" u="1"/>
        <n v="29202.619999999995" u="1"/>
        <n v="160614" u="1"/>
        <n v="3190172.2800000003" u="1"/>
        <n v="275847.06" u="1"/>
        <n v="1765036.35" u="1"/>
        <n v="2341754.2400000002" u="1"/>
        <n v="561788.43000000005" u="1"/>
        <n v="5441294.2899999991" u="1"/>
        <n v="91287.2" u="1"/>
        <n v="58570.950000000004" u="1"/>
        <n v="78779.25" u="1"/>
        <n v="7607899.2249152148" u="1"/>
        <n v="11828247.6" u="1"/>
        <n v="986143.14" u="1"/>
        <n v="3917838.0354124778" u="1"/>
        <n v="25162.32" u="1"/>
        <n v="4930580.97" u="1"/>
        <n v="7236269.04" u="1"/>
        <n v="7932808.75" u="1"/>
        <n v="140344.51999999999" u="1"/>
        <n v="3552405.12" u="1"/>
        <n v="602.23339703999989" u="1"/>
        <n v="2035093.5899999999" u="1"/>
        <n v="115343.15999999999" u="1"/>
        <n v="2419432.02" u="1"/>
        <n v="45861.4" u="1"/>
        <n v="11267467.68" u="1"/>
        <n v="127110.06" u="1"/>
        <n v="462585.08" u="1"/>
        <n v="31296.458336363983" u="1"/>
        <n v="1030322.54" u="1"/>
        <n v="28533.15" u="1"/>
        <n v="6767561.629999999" u="1"/>
        <n v="2036339.8199999998" u="1"/>
        <n v="851536.5" u="1"/>
        <n v="2002754.4" u="1"/>
        <n v="1452840.05" u="1"/>
        <n v="31293.715782032872" u="1"/>
        <n v="17401.600000000002" u="1"/>
        <n v="730300.89999999991" u="1"/>
        <n v="14196.003285555327" u="1"/>
        <n v="317191.55396622117" u="1"/>
        <n v="13481116.5" u="1"/>
        <n v="1925309.25" u="1"/>
        <n v="2623361.2000000002" u="1"/>
        <n v="74765.34" u="1"/>
        <n v="180771.03" u="1"/>
        <n v="15850.580866560002" u="1"/>
        <n v="35148.535795757729" u="1"/>
        <n v="6660202.290000001" u="1"/>
        <n v="3284744.1999999997" u="1"/>
        <n v="447292.94999999995" u="1"/>
        <n v="135211.03591290305" u="1"/>
        <n v="3208449.45" u="1"/>
        <n v="2341521.5999999996" u="1"/>
        <n v="12799076.6" u="1"/>
        <n v="5121798.24" u="1"/>
        <n v="2115098.7000000002" u="1"/>
        <n v="10538226.59919261" u="1"/>
        <n v="250406.82" u="1"/>
        <n v="14196.003030720958" u="1"/>
        <n v="3133516.8800000004" u="1"/>
        <n v="465638.19000000006" u="1"/>
        <n v="287180.3" u="1"/>
        <n v="113110.7" u="1"/>
        <n v="115688.6" u="1"/>
        <n v="2022945.21" u="1"/>
        <n v="9006879.120000001" u="1"/>
        <n v="560099.55999999994" u="1"/>
        <n v="936.87" u="1"/>
        <n v="21381.360000000001" u="1"/>
        <n v="24.03" u="1"/>
        <n v="6663301.5" u="1"/>
        <n v="6341.9274239999995" u="1"/>
        <n v="885924.00000000012" u="1"/>
        <n v="2129745.7800000003" u="1"/>
        <n v="1058817.96" u="1"/>
        <n v="9012674.7599999998" u="1"/>
        <n v="8760157.2899999991" u="1"/>
        <n v="19189.170000000002" u="1"/>
        <n v="11507207.87414144" u="1"/>
        <n v="1135171.26" u="1"/>
        <n v="876317.2" u="1"/>
        <n v="13474940.999999998" u="1"/>
        <n v="14203.699999999999" u="1"/>
        <n v="704.80000000000007" u="1"/>
        <n v="31522.68" u="1"/>
        <n v="301727" u="1"/>
        <n v="6231.2814459720003" u="1"/>
        <n v="137070.47999999998" u="1"/>
        <n v="3078.5" u="1"/>
        <n v="333352.23000000004" u="1"/>
        <n v="9404353.0255331211" u="1"/>
        <n v="1027558.45" u="1"/>
        <n v="328537.83" u="1"/>
        <n v="2712021.9400000004" u="1"/>
        <n v="98182.461738240003" u="1"/>
        <n v="202756.13999999998" u="1"/>
        <n v="86957.6" u="1"/>
        <n v="1995083.34" u="1"/>
        <n v="729.90616320000015" u="1"/>
        <n v="458562.75" u="1"/>
        <n v="577497.91" u="1"/>
        <n v="12287718.24" u="1"/>
        <n v="12340122.209999999" u="1"/>
        <n v="3186086.25" u="1"/>
        <n v="1299054.9000000001" u="1"/>
        <n v="36235.32" u="1"/>
        <n v="266852.33999999997" u="1"/>
        <n v="571735.26" u="1"/>
        <n v="1185597.7599999998" u="1"/>
        <n v="1185075.93" u="1"/>
        <n v="641703.21781799255" u="1"/>
        <n v="2017499.4699999997" u="1"/>
        <n v="2209442.36" u="1"/>
        <n v="13596254.279999997" u="1"/>
        <n v="42547.5" u="1"/>
        <n v="6437982.0794559065" u="1"/>
        <n v="17664.48" u="1"/>
        <n v="27636" u="1"/>
        <n v="111406.26000000001" u="1"/>
        <n v="296075.50972573156" u="1"/>
        <n v="730156.20000000007" u="1"/>
        <n v="82303.12" u="1"/>
        <n v="7353025.4700000007" u="1"/>
        <n v="135882.88" u="1"/>
        <n v="3040998.87" u="1"/>
        <n v="2595.1826730059997" u="1"/>
        <n v="122.74698239999999" u="1"/>
        <n v="1777609.41" u="1"/>
        <n v="37787.199999999997" u="1"/>
        <n v="6317348.8796271253" u="1"/>
        <n v="264990.71999999997" u="1"/>
        <n v="405.45000000000005" u="1"/>
        <n v="561962.52" u="1"/>
        <n v="145546.96" u="1"/>
        <n v="1210350.96" u="1"/>
        <n v="10414648.529999999" u="1"/>
        <n v="51465.700000000004" u="1"/>
        <n v="1753641.9200000002" u="1"/>
        <n v="860847.99999999988" u="1"/>
        <n v="641706.82750794827" u="1"/>
        <n v="2962.45" u="1"/>
        <n v="920513.16" u="1"/>
        <n v="146.72" u="1"/>
        <n v="71756.25" u="1"/>
        <n v="1538356.6799999997" u="1"/>
        <n v="9229737.9199999999" u="1"/>
        <n v="734374.08" u="1"/>
        <n v="9486.9" u="1"/>
        <n v="18861.019999999997" u="1"/>
        <n v="9940.77" u="1"/>
        <n v="500994.72000000003" u="1"/>
        <n v="3271157.12" u="1"/>
        <n v="5162964.8500000006" u="1"/>
        <n v="114465.29999999999" u="1"/>
        <n v="1340807.31" u="1"/>
        <n v="111334.57" u="1"/>
        <n v="1370366.7254423988" u="1"/>
        <n v="3983421.7000375828" u="1"/>
        <n v="37804.800000000003" u="1"/>
        <n v="1394121.15" u="1"/>
        <n v="6051.8044202400006" u="1"/>
        <n v="1077206.08" u="1"/>
        <n v="285027.12" u="1"/>
        <n v="1264141.06" u="1"/>
        <n v="80813.459999999992" u="1"/>
        <n v="177006.69999999998" u="1"/>
        <n v="1035304.8699999999" u="1"/>
        <n v="4927752.18" u="1"/>
        <n v="882420.51" u="1"/>
        <n v="3076.71" u="1"/>
        <n v="4489501.34" u="1"/>
        <n v="15178.57" u="1"/>
        <n v="3554584.4" u="1"/>
        <n v="4139010.2600000002" u="1"/>
        <n v="295947.17884194746" u="1"/>
        <n v="3284348.4000000004" u="1"/>
        <n v="14175.2" u="1"/>
        <n v="3840456.4042849443" u="1"/>
        <n v="3194483.1100000003" u="1"/>
        <n v="93668.280000000013" u="1"/>
        <n v="3694308.6000000006" u="1"/>
        <n v="66800.162732640005" u="1"/>
        <n v="6252.08" u="1"/>
        <n v="22520.125251587448" u="1"/>
        <n v="16332.970000000001" u="1"/>
        <n v="2271412.2599999998" u="1"/>
        <n v="446016.78" u="1"/>
        <n v="189930.78000000003" u="1"/>
        <n v="1041453.8400000001" u="1"/>
        <n v="48281.729999999996" u="1"/>
        <n v="505700.76999999996" u="1"/>
        <n v="641701.099354896" u="1"/>
        <n v="447297.1" u="1"/>
        <n v="2208769.5699999998" u="1"/>
        <n v="7057906.4000000004" u="1"/>
        <n v="6267820.6799999997" u="1"/>
        <n v="25148.160000000003" u="1"/>
        <n v="3039700.5599999996" u="1"/>
        <n v="78259.649999999994" u="1"/>
        <n v="280382.45999999996" u="1"/>
        <n v="498835.26000000007" u="1"/>
        <n v="431765.97884310171" u="1"/>
        <n v="577687.43999999994" u="1"/>
        <n v="6764922.6899999995" u="1"/>
        <n v="1999.4699999999998" u="1"/>
        <n v="149116.14000000001" u="1"/>
        <n v="369298.62" u="1"/>
        <n v="184006.08000000002" u="1"/>
        <n v="3038871.4000000004" u="1"/>
        <n v="40914.819999999992" u="1"/>
        <n v="7351032.2400000002" u="1"/>
        <n v="820433.24" u="1"/>
        <n v="1015341" u="1"/>
        <n v="6445975.2000000002" u="1"/>
        <n v="2071207.6800000002" u="1"/>
        <n v="1298595.8700000001" u="1"/>
        <n v="115279.68000000001" u="1"/>
        <n v="241417" u="1"/>
        <n v="638825.02" u="1"/>
        <n v="431766.02348101919" u="1"/>
        <n v="437749.6" u="1"/>
        <n v="315708.96000000002" u="1"/>
        <n v="667722.49518469116" u="1"/>
        <n v="160530.54" u="1"/>
        <n v="341611.19999999995" u="1"/>
        <n v="109064.28" u="1"/>
        <n v="196.34999999999997" u="1"/>
        <n v="647659.76" u="1"/>
        <n v="195706.7" u="1"/>
        <n v="7436.5945813199996" u="1"/>
        <n v="24909.800000000003" u="1"/>
        <n v="2376269.5" u="1"/>
        <n v="72.990616320000015" u="1"/>
        <n v="17042.190000000002" u="1"/>
        <n v="985885.93" u="1"/>
        <n v="21342.540000000005" u="1"/>
        <n v="1861.6" u="1"/>
        <n v="3224962.6530768443" u="1"/>
        <n v="8755.99" u="1"/>
        <n v="10635.330000000002" u="1"/>
        <n v="39345.522316800001" u="1"/>
        <n v="469928.55000000005" u="1"/>
        <n v="2979.81" u="1"/>
        <n v="1130.8499999999999" u="1"/>
        <n v="354054.21" u="1"/>
        <n v="1741986.6" u="1"/>
        <n v="928905.6" u="1"/>
        <n v="293694.98" u="1"/>
        <n v="575052.29" u="1"/>
        <n v="985.58399596799984" u="1"/>
        <n v="1764657.18" u="1"/>
        <n v="1727496.7180990404" u="1"/>
        <n v="2462.9436593999999" u="1"/>
        <n v="28812.000000000004" u="1"/>
        <n v="161081.76" u="1"/>
        <n v="497093.22" u="1"/>
        <n v="989792.58000000007" u="1"/>
        <n v="447398.07" u="1"/>
        <n v="622568.69999999995" u="1"/>
        <n v="820211.91999999993" u="1"/>
        <n v="553825.35000000009" u="1"/>
        <n v="358941.70406581124" u="1"/>
        <n v="369342.48" u="1"/>
        <n v="2659260.3595311595" u="1"/>
        <n v="1371496.6800000002" u="1"/>
        <n v="42007.17" u="1"/>
        <n v="1051003.5" u="1"/>
        <n v="3885233.510852905" u="1"/>
        <n v="100412.98347072001" u="1"/>
        <n v="1374659.2799999998" u="1"/>
        <n v="77734.36" u="1"/>
        <n v="210936.49999999997" u="1"/>
        <n v="6317349.9815859161" u="1"/>
        <n v="226642.26" u="1"/>
        <n v="5811722.7400000002" u="1"/>
        <n v="8785.09" u="1"/>
        <n v="556206.86" u="1"/>
        <n v="1884032.25" u="1"/>
        <n v="151863.6326972571" u="1"/>
        <n v="1026.48" u="1"/>
        <n v="228413.76" u="1"/>
        <n v="1727497.6290150883" u="1"/>
        <n v="1937660.7199999997" u="1"/>
        <n v="136819.36655976545" u="1"/>
        <n v="2774214.5341436919" u="1"/>
        <n v="1213.4415974400001" u="1"/>
        <n v="214224.5" u="1"/>
        <n v="129047.36000000002" u="1"/>
        <n v="1376499.52" u="1"/>
        <n v="285242.56" u="1"/>
        <n v="12088.060000000001" u="1"/>
        <n v="29916.120000000003" u="1"/>
        <n v="65722.960000000006" u="1"/>
        <n v="555752.68999999994" u="1"/>
        <n v="33831.269999999997" u="1"/>
        <n v="53419.92" u="1"/>
        <n v="666929.12932229915" u="1"/>
        <n v="115420.41" u="1"/>
        <n v="173803.95" u="1"/>
        <n v="503833.74000000005" u="1"/>
        <n v="139201.22999999998" u="1"/>
        <n v="275702.03000000003" u="1"/>
        <n v="3437.9" u="1"/>
        <n v="11262677.09" u="1"/>
        <n v="2250184.3199999998" u="1"/>
        <n v="176861.85" u="1"/>
        <n v="73814.23" u="1"/>
        <n v="74800.049999999988" u="1"/>
        <n v="2014208.28" u="1"/>
        <n v="13299642.84" u="1"/>
        <n v="13604616.059999999" u="1"/>
        <n v="2114784" u="1"/>
        <n v="1878505.2" u="1"/>
        <n v="2073121.92" u="1"/>
        <n v="271.13931647999993" u="1"/>
        <n v="2713962.8032186953" u="1"/>
        <n v="159368.69" u="1"/>
        <n v="928520.96000000008" u="1"/>
        <n v="97675.200000000012" u="1"/>
        <n v="118288.28000000001" u="1"/>
        <n v="70421.16" u="1"/>
        <n v="1409325.7199999997" u="1"/>
        <n v="3615.1908863999997" u="1"/>
        <n v="37705.64" u="1"/>
        <n v="174.09742112399996" u="1"/>
        <n v="1428491.82" u="1"/>
        <n v="364763.32" u="1"/>
        <n v="267264.32999999996" u="1"/>
        <n v="123275.88" u="1"/>
        <n v="1995974.4000000004" u="1"/>
        <n v="5387403.8399999999" u="1"/>
        <n v="415628.88" u="1"/>
        <n v="1764299.16" u="1"/>
        <n v="113147.07" u="1"/>
        <n v="5386623.6900000004" u="1"/>
        <n v="3697426.1599999997" u="1"/>
        <n v="2710667.96" u="1"/>
        <n v="451750.49999999994" u="1"/>
        <n v="5524340.4499999993" u="1"/>
        <n v="1451305.9" u="1"/>
        <n v="1417.14313728" u="1"/>
        <n v="3224963.9984773444" u="1"/>
        <n v="57327" u="1"/>
        <n v="15388.38" u="1"/>
        <n v="503549.73" u="1"/>
        <n v="186610.43999999997" u="1"/>
        <n v="140617.96" u="1"/>
        <n v="3192635.5200000005" u="1"/>
        <n v="3548293.54" u="1"/>
        <n v="4515.28" u="1"/>
        <n v="91407.4" u="1"/>
        <n v="340326" u="1"/>
        <n v="348050.16000000003" u="1"/>
        <n v="554009.04" u="1"/>
        <n v="13496.399999999998" u="1"/>
        <n v="492.4492032" u="1"/>
        <n v="1036604.4483139664" u="1"/>
        <n v="384301.36695552" u="1"/>
        <n v="1752823.9899999998" u="1"/>
        <n v="122124.09" u="1"/>
        <n v="776315.46" u="1"/>
        <n v="1385792.55" u="1"/>
        <n v="431392.04" u="1"/>
        <n v="1742751.3" u="1"/>
        <n v="3187400.1" u="1"/>
        <n v="33685.023241848001" u="1"/>
        <n v="9922.0477439999995" u="1"/>
        <n v="655666.43999999994" u="1"/>
        <n v="927631.74" u="1"/>
        <n v="6887.98" u="1"/>
        <n v="1281403.44" u="1"/>
        <n v="1556366.46" u="1"/>
        <n v="3206905.07" u="1"/>
        <n v="1134460.8899999999" u="1"/>
        <n v="121119.84" u="1"/>
        <n v="1970481.92" u="1"/>
        <n v="328462.45999999996" u="1"/>
        <n v="21064.33" u="1"/>
        <n v="6551512.8800000008" u="1"/>
        <n v="2709.78" u="1"/>
        <n v="16678.684615679998" u="1"/>
        <n v="4304296.87" u="1"/>
        <n v="9295534.9799999986" u="1"/>
        <n v="776104.39" u="1"/>
        <n v="7939489.0099999998" u="1"/>
        <n v="1658.56" u="1"/>
        <n v="1923929.0999999996" u="1"/>
        <n v="2375101.7999999998" u="1"/>
        <n v="117330" u="1"/>
        <n v="2379834.69" u="1"/>
        <n v="273494.13" u="1"/>
        <n v="11797918.76" u="1"/>
        <n v="465780.98" u="1"/>
        <n v="417857.4" u="1"/>
        <n v="26896.62" u="1"/>
        <n v="1765021.0499999998" u="1"/>
        <n v="86987.37999999999" u="1"/>
        <n v="4490663.5200000005" u="1"/>
        <n v="758867.5894163975" u="1"/>
        <n v="886416.18" u="1"/>
        <n v="123331.25999999998" u="1"/>
        <n v="2005011.8000000003" u="1"/>
        <n v="1762580.1600000001" u="1"/>
        <n v="2234144.92" u="1"/>
        <n v="260239.00999999998" u="1"/>
        <n v="383713.28000000003" u="1"/>
        <n v="9571.8544115999994" u="1"/>
        <n v="2420933.8400000003" u="1"/>
        <n v="12805271.700000001" u="1"/>
        <n v="761603.30743516784" u="1"/>
        <n v="19943.22" u="1"/>
        <n v="1954346.66" u="1"/>
        <n v="504661.95" u="1"/>
        <n v="269224.56" u="1"/>
        <n v="12509164.979999999" u="1"/>
        <n v="4606.1600000000008" u="1"/>
        <n v="742438" u="1"/>
        <n v="2000829.6" u="1"/>
        <n v="623955.64" u="1"/>
        <n v="154314.72" u="1"/>
        <n v="103104.84" u="1"/>
        <n v="434021.4" u="1"/>
        <n v="430705.11" u="1"/>
        <n v="383386.90377074067" u="1"/>
        <n v="715935.96000000008" u="1"/>
        <n v="186723.95" u="1"/>
        <n v="27866.399999999998" u="1"/>
        <n v="1463368.26" u="1"/>
        <n v="16501.919999999998" u="1"/>
        <n v="3885235.561570215" u="1"/>
        <n v="28791" u="1"/>
        <n v="72255.56" u="1"/>
        <n v="6142927.7000000002" u="1"/>
        <n v="18754.02" u="1"/>
        <n v="11573" u="1"/>
        <n v="211034.61" u="1"/>
        <n v="823248.72" u="1"/>
        <n v="97643.280000000013" u="1"/>
        <n v="5161863.3" u="1"/>
        <n v="704.73" u="1"/>
        <n v="27308.579999999998" u="1"/>
        <n v="2651119.08" u="1"/>
        <n v="1410014.54" u="1"/>
        <n v="2379684.92" u="1"/>
        <n v="12280672.530000001" u="1"/>
        <n v="315891.24000000005" u="1"/>
        <n v="287699.84999999998" u="1"/>
        <n v="160703.23000000001" u="1"/>
        <n v="26126.559999999998" u="1"/>
        <n v="743105.35999999987" u="1"/>
        <n v="1371057.52" u="1"/>
        <n v="103311.6" u="1"/>
        <n v="270.21999999999997" u="1"/>
      </sharedItems>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61">
  <r>
    <s v="6824"/>
    <s v="Boat Building or Repair"/>
    <x v="0"/>
    <x v="0"/>
    <n v="51058"/>
    <n v="51"/>
    <x v="0"/>
  </r>
  <r>
    <s v="6826"/>
    <s v="Marina (6826)"/>
    <x v="0"/>
    <x v="0"/>
    <n v="28606"/>
    <n v="29"/>
    <x v="1"/>
  </r>
  <r>
    <s v="6843"/>
    <s v="Ship Building Iron or Steel"/>
    <x v="0"/>
    <x v="0"/>
    <n v="12970727"/>
    <n v="12971"/>
    <x v="2"/>
  </r>
  <r>
    <s v="6872"/>
    <s v="Ship Repair or Convrsn-All Oper."/>
    <x v="0"/>
    <x v="0"/>
    <n v="157960"/>
    <n v="158"/>
    <x v="3"/>
  </r>
  <r>
    <s v="7309"/>
    <s v="Stevedoring, N.O.C."/>
    <x v="0"/>
    <x v="0"/>
    <n v="8605509"/>
    <n v="8606"/>
    <x v="4"/>
  </r>
  <r>
    <s v="7313"/>
    <s v="Coal Dock Oper. and Stevedoring"/>
    <x v="0"/>
    <x v="0"/>
    <n v="12613564"/>
    <n v="12614"/>
    <x v="5"/>
  </r>
  <r>
    <s v="7317"/>
    <s v="Stevdrng-by Hand or HND TRK Exclv"/>
    <x v="0"/>
    <x v="0"/>
    <n v="1592160"/>
    <n v="1592"/>
    <x v="6"/>
  </r>
  <r>
    <s v="7327"/>
    <s v="Stevedoring-Containerized Freight"/>
    <x v="0"/>
    <x v="0"/>
    <n v="7017349"/>
    <n v="7017"/>
    <x v="7"/>
  </r>
  <r>
    <s v="7366"/>
    <s v="Freight Handlers"/>
    <x v="0"/>
    <x v="0"/>
    <n v="18115182"/>
    <n v="18115"/>
    <x v="8"/>
  </r>
  <r>
    <s v="8709"/>
    <s v="Stevdrng-Talymn &amp; Checking Clerks"/>
    <x v="0"/>
    <x v="0"/>
    <n v="4690800"/>
    <n v="4691"/>
    <x v="9"/>
  </r>
  <r>
    <s v="8726"/>
    <s v="Steamship Line or Agency-Port EMP"/>
    <x v="0"/>
    <x v="0"/>
    <n v="369560"/>
    <n v="370"/>
    <x v="10"/>
  </r>
  <r>
    <s v="9999"/>
    <s v="TOTAL"/>
    <x v="0"/>
    <x v="0"/>
    <n v="66212475"/>
    <n v="66212"/>
    <x v="11"/>
  </r>
  <r>
    <s v="6824"/>
    <s v="Boat Building or Repair"/>
    <x v="0"/>
    <x v="1"/>
    <n v="4234"/>
    <n v="4"/>
    <x v="0"/>
  </r>
  <r>
    <s v="6826"/>
    <s v="Marina (6826)"/>
    <x v="0"/>
    <x v="1"/>
    <n v="49430"/>
    <n v="49"/>
    <x v="1"/>
  </r>
  <r>
    <s v="6843"/>
    <s v="Ship Building Iron or Steel"/>
    <x v="0"/>
    <x v="1"/>
    <n v="22587847"/>
    <n v="22588"/>
    <x v="2"/>
  </r>
  <r>
    <s v="6872"/>
    <s v="Ship Repair or Convrsn-All Oper."/>
    <x v="0"/>
    <x v="1"/>
    <n v="42904"/>
    <n v="43"/>
    <x v="3"/>
  </r>
  <r>
    <s v="7309"/>
    <s v="Stevedoring, N.O.C."/>
    <x v="0"/>
    <x v="1"/>
    <n v="9158468"/>
    <n v="9158"/>
    <x v="4"/>
  </r>
  <r>
    <s v="7313"/>
    <s v="Coal Dock Oper. and Stevedoring"/>
    <x v="0"/>
    <x v="1"/>
    <n v="9485041"/>
    <n v="9485"/>
    <x v="5"/>
  </r>
  <r>
    <s v="7317"/>
    <s v="Stevdrng-by Hand or HND TRK Exclv"/>
    <x v="0"/>
    <x v="1"/>
    <n v="1618628"/>
    <n v="1619"/>
    <x v="6"/>
  </r>
  <r>
    <s v="7327"/>
    <s v="Stevedoring-Containerized Freight"/>
    <x v="0"/>
    <x v="1"/>
    <n v="7369503"/>
    <n v="7370"/>
    <x v="7"/>
  </r>
  <r>
    <s v="7366"/>
    <s v="Freight Handlers"/>
    <x v="0"/>
    <x v="1"/>
    <n v="19617161"/>
    <n v="19617"/>
    <x v="8"/>
  </r>
  <r>
    <s v="8709"/>
    <s v="Stevdrng-Talymn &amp; Checking Clerks"/>
    <x v="0"/>
    <x v="1"/>
    <n v="3697064"/>
    <n v="3697"/>
    <x v="9"/>
  </r>
  <r>
    <s v="8726"/>
    <s v="Steamship Line or Agency-Port EMP"/>
    <x v="0"/>
    <x v="1"/>
    <n v="402715"/>
    <n v="403"/>
    <x v="10"/>
  </r>
  <r>
    <s v="9999"/>
    <s v="TOTAL"/>
    <x v="0"/>
    <x v="1"/>
    <n v="74032995"/>
    <n v="74033"/>
    <x v="11"/>
  </r>
  <r>
    <s v="6824"/>
    <s v="Boat Building or Repair"/>
    <x v="0"/>
    <x v="2"/>
    <n v="30688"/>
    <n v="31"/>
    <x v="0"/>
  </r>
  <r>
    <s v="6826"/>
    <s v="Marina (6826)"/>
    <x v="0"/>
    <x v="2"/>
    <n v="52439"/>
    <n v="52"/>
    <x v="1"/>
  </r>
  <r>
    <s v="6843"/>
    <s v="Ship Building Iron or Steel"/>
    <x v="0"/>
    <x v="2"/>
    <n v="19849381"/>
    <n v="19849"/>
    <x v="2"/>
  </r>
  <r>
    <s v="6872"/>
    <s v="Ship Repair or Convrsn-All Oper."/>
    <x v="0"/>
    <x v="2"/>
    <n v="271275"/>
    <n v="271"/>
    <x v="3"/>
  </r>
  <r>
    <s v="7309"/>
    <s v="Stevedoring, N.O.C."/>
    <x v="0"/>
    <x v="2"/>
    <n v="8549444"/>
    <n v="8549"/>
    <x v="4"/>
  </r>
  <r>
    <s v="7313"/>
    <s v="Coal Dock Oper. and Stevedoring"/>
    <x v="0"/>
    <x v="2"/>
    <n v="14498773"/>
    <n v="14499"/>
    <x v="5"/>
  </r>
  <r>
    <s v="7317"/>
    <s v="Stevdrng-by Hand or HND TRK Exclv"/>
    <x v="0"/>
    <x v="2"/>
    <n v="1714709"/>
    <n v="1715"/>
    <x v="6"/>
  </r>
  <r>
    <s v="7327"/>
    <s v="Stevedoring-Containerized Freight"/>
    <x v="0"/>
    <x v="2"/>
    <n v="9756508"/>
    <n v="9757"/>
    <x v="7"/>
  </r>
  <r>
    <s v="7366"/>
    <s v="Freight Handlers"/>
    <x v="0"/>
    <x v="2"/>
    <n v="21554950"/>
    <n v="21555"/>
    <x v="8"/>
  </r>
  <r>
    <s v="8709"/>
    <s v="Stevdrng-Talymn &amp; Checking Clerks"/>
    <x v="0"/>
    <x v="2"/>
    <n v="4149206"/>
    <n v="4149"/>
    <x v="9"/>
  </r>
  <r>
    <s v="8726"/>
    <s v="Steamship Line or Agency-Port EMP"/>
    <x v="0"/>
    <x v="2"/>
    <n v="228072"/>
    <n v="228"/>
    <x v="10"/>
  </r>
  <r>
    <s v="9999"/>
    <s v="TOTAL"/>
    <x v="0"/>
    <x v="2"/>
    <n v="80655445"/>
    <n v="80655"/>
    <x v="11"/>
  </r>
  <r>
    <s v="6824"/>
    <s v="Boat Building or Repair"/>
    <x v="0"/>
    <x v="3"/>
    <n v="40177"/>
    <n v="40"/>
    <x v="0"/>
  </r>
  <r>
    <s v="6826"/>
    <s v="Marina (6826)"/>
    <x v="0"/>
    <x v="3"/>
    <n v="40131"/>
    <n v="40"/>
    <x v="1"/>
  </r>
  <r>
    <s v="6843"/>
    <s v="Ship Building Iron or Steel"/>
    <x v="0"/>
    <x v="3"/>
    <n v="123393"/>
    <n v="123"/>
    <x v="2"/>
  </r>
  <r>
    <s v="6872"/>
    <s v="Ship Repair or Convrsn-All Oper."/>
    <x v="0"/>
    <x v="3"/>
    <n v="83217"/>
    <n v="83"/>
    <x v="3"/>
  </r>
  <r>
    <s v="7309"/>
    <s v="Stevedoring, N.O.C."/>
    <x v="0"/>
    <x v="3"/>
    <n v="8032535"/>
    <n v="8033"/>
    <x v="4"/>
  </r>
  <r>
    <s v="7313"/>
    <s v="Coal Dock Oper. and Stevedoring"/>
    <x v="0"/>
    <x v="3"/>
    <n v="12227762"/>
    <n v="12228"/>
    <x v="5"/>
  </r>
  <r>
    <s v="7317"/>
    <s v="Stevdrng-by Hand or HND TRK Exclv"/>
    <x v="0"/>
    <x v="3"/>
    <n v="1749261"/>
    <n v="1749"/>
    <x v="6"/>
  </r>
  <r>
    <s v="7327"/>
    <s v="Stevedoring-Containerized Freight"/>
    <x v="0"/>
    <x v="3"/>
    <n v="9255385"/>
    <n v="9255"/>
    <x v="7"/>
  </r>
  <r>
    <s v="7366"/>
    <s v="Freight Handlers"/>
    <x v="0"/>
    <x v="3"/>
    <n v="26692458"/>
    <n v="26692"/>
    <x v="8"/>
  </r>
  <r>
    <s v="8709"/>
    <s v="Stevdrng-Talymn &amp; Checking Clerks"/>
    <x v="0"/>
    <x v="3"/>
    <n v="5890168"/>
    <n v="5890"/>
    <x v="9"/>
  </r>
  <r>
    <s v="8726"/>
    <s v="Steamship Line or Agency-Port EMP"/>
    <x v="0"/>
    <x v="3"/>
    <n v="90415"/>
    <n v="90"/>
    <x v="10"/>
  </r>
  <r>
    <s v="9999"/>
    <s v="TOTAL"/>
    <x v="0"/>
    <x v="3"/>
    <n v="64224902"/>
    <n v="64225"/>
    <x v="11"/>
  </r>
  <r>
    <s v="6824"/>
    <s v="Boat Building or Repair"/>
    <x v="0"/>
    <x v="4"/>
    <n v="51500"/>
    <n v="52"/>
    <x v="0"/>
  </r>
  <r>
    <s v="6826"/>
    <s v="Marina (6826)"/>
    <x v="0"/>
    <x v="4"/>
    <n v="35278"/>
    <n v="35"/>
    <x v="1"/>
  </r>
  <r>
    <s v="6843"/>
    <s v="Ship Building Iron or Steel"/>
    <x v="0"/>
    <x v="4"/>
    <n v="95637"/>
    <n v="96"/>
    <x v="2"/>
  </r>
  <r>
    <s v="6872"/>
    <s v="Ship Repair or Convrsn-All Oper."/>
    <x v="0"/>
    <x v="4"/>
    <n v="132225"/>
    <n v="132"/>
    <x v="3"/>
  </r>
  <r>
    <s v="7309"/>
    <s v="Stevedoring, N.O.C."/>
    <x v="0"/>
    <x v="4"/>
    <n v="8678791"/>
    <n v="8679"/>
    <x v="4"/>
  </r>
  <r>
    <s v="7313"/>
    <s v="Coal Dock Oper. and Stevedoring"/>
    <x v="0"/>
    <x v="4"/>
    <n v="8896691"/>
    <n v="8897"/>
    <x v="5"/>
  </r>
  <r>
    <s v="7317"/>
    <s v="Stevdrng-by Hand or HND TRK Exclv"/>
    <x v="0"/>
    <x v="4"/>
    <n v="2092803"/>
    <n v="2093"/>
    <x v="6"/>
  </r>
  <r>
    <s v="7327"/>
    <s v="Stevedoring-Containerized Freight"/>
    <x v="0"/>
    <x v="4"/>
    <n v="10252999"/>
    <n v="10253"/>
    <x v="7"/>
  </r>
  <r>
    <s v="7366"/>
    <s v="Freight Handlers"/>
    <x v="0"/>
    <x v="4"/>
    <n v="23059726"/>
    <n v="23060"/>
    <x v="8"/>
  </r>
  <r>
    <s v="8709"/>
    <s v="Stevdrng-Talymn &amp; Checking Clerks"/>
    <x v="0"/>
    <x v="4"/>
    <n v="5071710"/>
    <n v="5072"/>
    <x v="9"/>
  </r>
  <r>
    <s v="8726"/>
    <s v="Steamship Line or Agency-Port EMP"/>
    <x v="0"/>
    <x v="4"/>
    <n v="38443"/>
    <n v="38"/>
    <x v="10"/>
  </r>
  <r>
    <s v="9999"/>
    <s v="TOTAL"/>
    <x v="0"/>
    <x v="4"/>
    <n v="58405803"/>
    <n v="58406"/>
    <x v="11"/>
  </r>
  <r>
    <m/>
    <m/>
    <x v="1"/>
    <x v="5"/>
    <m/>
    <m/>
    <x v="12"/>
  </r>
</pivotCacheRecords>
</file>

<file path=xl/pivotCache/pivotCacheRecords2.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226">
  <r>
    <x v="0"/>
    <s v="6843"/>
    <n v="3144963"/>
    <s v="WC018342102"/>
    <x v="0"/>
    <n v="0"/>
    <n v="0"/>
    <n v="0"/>
    <n v="0"/>
    <n v="252605"/>
    <n v="251819"/>
    <n v="0"/>
    <n v="0"/>
    <n v="0"/>
    <n v="0"/>
    <n v="504424"/>
    <m/>
    <x v="0"/>
  </r>
  <r>
    <x v="1"/>
    <m/>
    <m/>
    <m/>
    <x v="1"/>
    <m/>
    <m/>
    <m/>
    <m/>
    <m/>
    <m/>
    <m/>
    <m/>
    <m/>
    <m/>
    <m/>
    <m/>
    <x v="1"/>
  </r>
  <r>
    <x v="1"/>
    <m/>
    <m/>
    <m/>
    <x v="1"/>
    <m/>
    <m/>
    <m/>
    <m/>
    <m/>
    <m/>
    <m/>
    <m/>
    <m/>
    <m/>
    <m/>
    <m/>
    <x v="1"/>
  </r>
  <r>
    <x v="1"/>
    <m/>
    <m/>
    <m/>
    <x v="1"/>
    <m/>
    <m/>
    <m/>
    <m/>
    <m/>
    <m/>
    <m/>
    <m/>
    <m/>
    <m/>
    <m/>
    <m/>
    <x v="1"/>
  </r>
  <r>
    <x v="1"/>
    <m/>
    <m/>
    <m/>
    <x v="1"/>
    <m/>
    <m/>
    <m/>
    <m/>
    <m/>
    <m/>
    <m/>
    <m/>
    <m/>
    <m/>
    <m/>
    <m/>
    <x v="1"/>
  </r>
  <r>
    <x v="1"/>
    <m/>
    <m/>
    <m/>
    <x v="1"/>
    <m/>
    <m/>
    <m/>
    <m/>
    <m/>
    <m/>
    <m/>
    <m/>
    <m/>
    <m/>
    <m/>
    <m/>
    <x v="1"/>
  </r>
  <r>
    <x v="1"/>
    <m/>
    <m/>
    <m/>
    <x v="1"/>
    <m/>
    <m/>
    <m/>
    <m/>
    <m/>
    <m/>
    <m/>
    <m/>
    <m/>
    <m/>
    <m/>
    <m/>
    <x v="1"/>
  </r>
  <r>
    <x v="1"/>
    <m/>
    <m/>
    <m/>
    <x v="1"/>
    <m/>
    <m/>
    <m/>
    <m/>
    <m/>
    <m/>
    <m/>
    <m/>
    <m/>
    <m/>
    <m/>
    <m/>
    <x v="1"/>
  </r>
  <r>
    <x v="1"/>
    <m/>
    <m/>
    <m/>
    <x v="1"/>
    <m/>
    <m/>
    <m/>
    <m/>
    <m/>
    <m/>
    <m/>
    <m/>
    <m/>
    <m/>
    <m/>
    <m/>
    <x v="1"/>
  </r>
  <r>
    <x v="1"/>
    <m/>
    <m/>
    <m/>
    <x v="1"/>
    <m/>
    <m/>
    <m/>
    <m/>
    <m/>
    <m/>
    <m/>
    <m/>
    <m/>
    <m/>
    <m/>
    <m/>
    <x v="1"/>
  </r>
  <r>
    <x v="1"/>
    <m/>
    <m/>
    <m/>
    <x v="1"/>
    <m/>
    <m/>
    <m/>
    <m/>
    <m/>
    <m/>
    <m/>
    <m/>
    <m/>
    <m/>
    <m/>
    <m/>
    <x v="1"/>
  </r>
  <r>
    <x v="1"/>
    <m/>
    <m/>
    <m/>
    <x v="1"/>
    <m/>
    <m/>
    <m/>
    <m/>
    <m/>
    <m/>
    <m/>
    <m/>
    <m/>
    <m/>
    <m/>
    <m/>
    <x v="1"/>
  </r>
  <r>
    <x v="1"/>
    <m/>
    <m/>
    <m/>
    <x v="1"/>
    <m/>
    <m/>
    <m/>
    <m/>
    <m/>
    <m/>
    <m/>
    <m/>
    <m/>
    <m/>
    <m/>
    <m/>
    <x v="1"/>
  </r>
  <r>
    <x v="1"/>
    <m/>
    <m/>
    <m/>
    <x v="1"/>
    <m/>
    <m/>
    <m/>
    <m/>
    <m/>
    <m/>
    <m/>
    <m/>
    <m/>
    <m/>
    <m/>
    <m/>
    <x v="1"/>
  </r>
  <r>
    <x v="1"/>
    <m/>
    <m/>
    <m/>
    <x v="1"/>
    <m/>
    <m/>
    <m/>
    <m/>
    <m/>
    <m/>
    <m/>
    <m/>
    <m/>
    <m/>
    <m/>
    <m/>
    <x v="1"/>
  </r>
  <r>
    <x v="1"/>
    <m/>
    <m/>
    <m/>
    <x v="1"/>
    <m/>
    <m/>
    <m/>
    <m/>
    <m/>
    <m/>
    <m/>
    <m/>
    <m/>
    <m/>
    <m/>
    <m/>
    <x v="1"/>
  </r>
  <r>
    <x v="1"/>
    <m/>
    <m/>
    <m/>
    <x v="1"/>
    <m/>
    <m/>
    <m/>
    <m/>
    <m/>
    <m/>
    <m/>
    <m/>
    <m/>
    <m/>
    <m/>
    <m/>
    <x v="1"/>
  </r>
  <r>
    <x v="1"/>
    <m/>
    <m/>
    <m/>
    <x v="1"/>
    <m/>
    <m/>
    <m/>
    <m/>
    <m/>
    <m/>
    <m/>
    <m/>
    <m/>
    <m/>
    <m/>
    <m/>
    <x v="1"/>
  </r>
  <r>
    <x v="1"/>
    <m/>
    <m/>
    <m/>
    <x v="1"/>
    <m/>
    <m/>
    <m/>
    <m/>
    <m/>
    <m/>
    <m/>
    <m/>
    <m/>
    <m/>
    <m/>
    <m/>
    <x v="1"/>
  </r>
  <r>
    <x v="1"/>
    <m/>
    <m/>
    <m/>
    <x v="1"/>
    <m/>
    <m/>
    <m/>
    <m/>
    <m/>
    <m/>
    <m/>
    <m/>
    <m/>
    <m/>
    <m/>
    <m/>
    <x v="1"/>
  </r>
  <r>
    <x v="1"/>
    <m/>
    <m/>
    <m/>
    <x v="1"/>
    <m/>
    <m/>
    <m/>
    <m/>
    <m/>
    <m/>
    <m/>
    <m/>
    <m/>
    <m/>
    <m/>
    <m/>
    <x v="1"/>
  </r>
  <r>
    <x v="1"/>
    <m/>
    <m/>
    <m/>
    <x v="1"/>
    <m/>
    <m/>
    <m/>
    <m/>
    <m/>
    <m/>
    <m/>
    <m/>
    <m/>
    <m/>
    <m/>
    <m/>
    <x v="1"/>
  </r>
  <r>
    <x v="1"/>
    <m/>
    <m/>
    <m/>
    <x v="1"/>
    <m/>
    <m/>
    <m/>
    <m/>
    <m/>
    <m/>
    <m/>
    <m/>
    <m/>
    <m/>
    <m/>
    <m/>
    <x v="1"/>
  </r>
  <r>
    <x v="1"/>
    <m/>
    <m/>
    <m/>
    <x v="1"/>
    <m/>
    <m/>
    <m/>
    <m/>
    <m/>
    <m/>
    <m/>
    <m/>
    <m/>
    <m/>
    <m/>
    <m/>
    <x v="1"/>
  </r>
  <r>
    <x v="1"/>
    <m/>
    <m/>
    <m/>
    <x v="1"/>
    <m/>
    <m/>
    <m/>
    <m/>
    <m/>
    <m/>
    <m/>
    <m/>
    <m/>
    <m/>
    <m/>
    <m/>
    <x v="1"/>
  </r>
  <r>
    <x v="1"/>
    <m/>
    <m/>
    <m/>
    <x v="1"/>
    <m/>
    <m/>
    <m/>
    <m/>
    <m/>
    <m/>
    <m/>
    <m/>
    <m/>
    <m/>
    <m/>
    <m/>
    <x v="1"/>
  </r>
  <r>
    <x v="1"/>
    <m/>
    <m/>
    <m/>
    <x v="1"/>
    <m/>
    <m/>
    <m/>
    <m/>
    <m/>
    <m/>
    <m/>
    <m/>
    <m/>
    <m/>
    <m/>
    <m/>
    <x v="1"/>
  </r>
  <r>
    <x v="1"/>
    <m/>
    <m/>
    <m/>
    <x v="1"/>
    <m/>
    <m/>
    <m/>
    <m/>
    <m/>
    <m/>
    <m/>
    <m/>
    <m/>
    <m/>
    <m/>
    <m/>
    <x v="1"/>
  </r>
  <r>
    <x v="1"/>
    <m/>
    <m/>
    <m/>
    <x v="1"/>
    <m/>
    <m/>
    <m/>
    <m/>
    <m/>
    <m/>
    <m/>
    <m/>
    <m/>
    <m/>
    <m/>
    <m/>
    <x v="1"/>
  </r>
  <r>
    <x v="1"/>
    <m/>
    <m/>
    <m/>
    <x v="1"/>
    <m/>
    <m/>
    <m/>
    <m/>
    <m/>
    <m/>
    <m/>
    <m/>
    <m/>
    <m/>
    <m/>
    <m/>
    <x v="1"/>
  </r>
  <r>
    <x v="1"/>
    <m/>
    <m/>
    <m/>
    <x v="1"/>
    <m/>
    <m/>
    <m/>
    <m/>
    <m/>
    <m/>
    <m/>
    <m/>
    <m/>
    <m/>
    <m/>
    <m/>
    <x v="1"/>
  </r>
  <r>
    <x v="1"/>
    <m/>
    <m/>
    <m/>
    <x v="1"/>
    <m/>
    <m/>
    <m/>
    <m/>
    <m/>
    <m/>
    <m/>
    <m/>
    <m/>
    <m/>
    <m/>
    <m/>
    <x v="1"/>
  </r>
  <r>
    <x v="1"/>
    <m/>
    <m/>
    <m/>
    <x v="1"/>
    <m/>
    <m/>
    <m/>
    <m/>
    <m/>
    <m/>
    <m/>
    <m/>
    <m/>
    <m/>
    <m/>
    <m/>
    <x v="1"/>
  </r>
  <r>
    <x v="1"/>
    <m/>
    <m/>
    <m/>
    <x v="1"/>
    <m/>
    <m/>
    <m/>
    <m/>
    <m/>
    <m/>
    <m/>
    <m/>
    <m/>
    <m/>
    <m/>
    <m/>
    <x v="1"/>
  </r>
  <r>
    <x v="1"/>
    <m/>
    <m/>
    <m/>
    <x v="1"/>
    <m/>
    <m/>
    <m/>
    <m/>
    <m/>
    <m/>
    <m/>
    <m/>
    <m/>
    <m/>
    <m/>
    <m/>
    <x v="1"/>
  </r>
  <r>
    <x v="1"/>
    <m/>
    <m/>
    <m/>
    <x v="1"/>
    <m/>
    <m/>
    <m/>
    <m/>
    <m/>
    <m/>
    <m/>
    <m/>
    <m/>
    <m/>
    <m/>
    <m/>
    <x v="1"/>
  </r>
  <r>
    <x v="1"/>
    <m/>
    <m/>
    <m/>
    <x v="1"/>
    <m/>
    <m/>
    <m/>
    <m/>
    <m/>
    <m/>
    <m/>
    <m/>
    <m/>
    <m/>
    <m/>
    <m/>
    <x v="1"/>
  </r>
  <r>
    <x v="1"/>
    <m/>
    <m/>
    <m/>
    <x v="1"/>
    <m/>
    <m/>
    <m/>
    <m/>
    <m/>
    <m/>
    <m/>
    <m/>
    <m/>
    <m/>
    <m/>
    <m/>
    <x v="1"/>
  </r>
  <r>
    <x v="1"/>
    <m/>
    <m/>
    <m/>
    <x v="1"/>
    <m/>
    <m/>
    <m/>
    <m/>
    <m/>
    <m/>
    <m/>
    <m/>
    <m/>
    <m/>
    <m/>
    <m/>
    <x v="1"/>
  </r>
  <r>
    <x v="1"/>
    <m/>
    <m/>
    <m/>
    <x v="1"/>
    <m/>
    <m/>
    <m/>
    <m/>
    <m/>
    <m/>
    <m/>
    <m/>
    <m/>
    <m/>
    <m/>
    <m/>
    <x v="1"/>
  </r>
  <r>
    <x v="1"/>
    <m/>
    <m/>
    <m/>
    <x v="1"/>
    <m/>
    <m/>
    <m/>
    <m/>
    <m/>
    <m/>
    <m/>
    <m/>
    <m/>
    <m/>
    <m/>
    <m/>
    <x v="1"/>
  </r>
  <r>
    <x v="1"/>
    <m/>
    <m/>
    <m/>
    <x v="1"/>
    <m/>
    <m/>
    <m/>
    <m/>
    <m/>
    <m/>
    <m/>
    <m/>
    <m/>
    <m/>
    <m/>
    <m/>
    <x v="1"/>
  </r>
  <r>
    <x v="1"/>
    <m/>
    <m/>
    <m/>
    <x v="1"/>
    <m/>
    <m/>
    <m/>
    <m/>
    <m/>
    <m/>
    <m/>
    <m/>
    <m/>
    <m/>
    <m/>
    <m/>
    <x v="1"/>
  </r>
  <r>
    <x v="1"/>
    <m/>
    <m/>
    <m/>
    <x v="1"/>
    <m/>
    <m/>
    <m/>
    <m/>
    <m/>
    <m/>
    <m/>
    <m/>
    <m/>
    <m/>
    <m/>
    <m/>
    <x v="1"/>
  </r>
  <r>
    <x v="1"/>
    <m/>
    <m/>
    <m/>
    <x v="1"/>
    <m/>
    <m/>
    <m/>
    <m/>
    <m/>
    <m/>
    <m/>
    <m/>
    <m/>
    <m/>
    <m/>
    <m/>
    <x v="1"/>
  </r>
  <r>
    <x v="1"/>
    <m/>
    <m/>
    <m/>
    <x v="1"/>
    <m/>
    <m/>
    <m/>
    <m/>
    <m/>
    <m/>
    <m/>
    <m/>
    <m/>
    <m/>
    <m/>
    <m/>
    <x v="1"/>
  </r>
  <r>
    <x v="1"/>
    <m/>
    <m/>
    <m/>
    <x v="1"/>
    <m/>
    <m/>
    <m/>
    <m/>
    <m/>
    <m/>
    <m/>
    <m/>
    <m/>
    <m/>
    <m/>
    <m/>
    <x v="1"/>
  </r>
  <r>
    <x v="1"/>
    <m/>
    <m/>
    <m/>
    <x v="1"/>
    <m/>
    <m/>
    <m/>
    <m/>
    <m/>
    <m/>
    <m/>
    <m/>
    <m/>
    <m/>
    <m/>
    <m/>
    <x v="1"/>
  </r>
  <r>
    <x v="1"/>
    <m/>
    <m/>
    <m/>
    <x v="1"/>
    <m/>
    <m/>
    <m/>
    <m/>
    <m/>
    <m/>
    <m/>
    <m/>
    <m/>
    <m/>
    <m/>
    <m/>
    <x v="1"/>
  </r>
  <r>
    <x v="1"/>
    <m/>
    <m/>
    <m/>
    <x v="1"/>
    <m/>
    <m/>
    <m/>
    <m/>
    <m/>
    <m/>
    <m/>
    <m/>
    <m/>
    <m/>
    <m/>
    <m/>
    <x v="1"/>
  </r>
  <r>
    <x v="1"/>
    <m/>
    <m/>
    <m/>
    <x v="1"/>
    <m/>
    <m/>
    <m/>
    <m/>
    <m/>
    <m/>
    <m/>
    <m/>
    <m/>
    <m/>
    <m/>
    <m/>
    <x v="1"/>
  </r>
  <r>
    <x v="1"/>
    <m/>
    <m/>
    <m/>
    <x v="1"/>
    <m/>
    <m/>
    <m/>
    <m/>
    <m/>
    <m/>
    <m/>
    <m/>
    <m/>
    <m/>
    <m/>
    <m/>
    <x v="1"/>
  </r>
  <r>
    <x v="1"/>
    <m/>
    <m/>
    <m/>
    <x v="1"/>
    <m/>
    <m/>
    <m/>
    <m/>
    <m/>
    <m/>
    <m/>
    <m/>
    <m/>
    <m/>
    <m/>
    <m/>
    <x v="1"/>
  </r>
  <r>
    <x v="1"/>
    <m/>
    <m/>
    <m/>
    <x v="1"/>
    <m/>
    <m/>
    <m/>
    <m/>
    <m/>
    <m/>
    <m/>
    <m/>
    <m/>
    <m/>
    <m/>
    <m/>
    <x v="1"/>
  </r>
  <r>
    <x v="1"/>
    <m/>
    <m/>
    <m/>
    <x v="1"/>
    <m/>
    <m/>
    <m/>
    <m/>
    <m/>
    <m/>
    <m/>
    <m/>
    <m/>
    <m/>
    <m/>
    <m/>
    <x v="1"/>
  </r>
  <r>
    <x v="1"/>
    <m/>
    <m/>
    <m/>
    <x v="1"/>
    <m/>
    <m/>
    <m/>
    <m/>
    <m/>
    <m/>
    <m/>
    <m/>
    <m/>
    <m/>
    <m/>
    <m/>
    <x v="1"/>
  </r>
  <r>
    <x v="1"/>
    <m/>
    <m/>
    <m/>
    <x v="1"/>
    <m/>
    <m/>
    <m/>
    <m/>
    <m/>
    <m/>
    <m/>
    <m/>
    <m/>
    <m/>
    <m/>
    <m/>
    <x v="1"/>
  </r>
  <r>
    <x v="1"/>
    <m/>
    <m/>
    <m/>
    <x v="1"/>
    <m/>
    <m/>
    <m/>
    <m/>
    <m/>
    <m/>
    <m/>
    <m/>
    <m/>
    <m/>
    <m/>
    <m/>
    <x v="1"/>
  </r>
  <r>
    <x v="1"/>
    <m/>
    <m/>
    <m/>
    <x v="1"/>
    <m/>
    <m/>
    <m/>
    <m/>
    <m/>
    <m/>
    <m/>
    <m/>
    <m/>
    <m/>
    <m/>
    <m/>
    <x v="1"/>
  </r>
  <r>
    <x v="1"/>
    <m/>
    <m/>
    <m/>
    <x v="1"/>
    <m/>
    <m/>
    <m/>
    <m/>
    <m/>
    <m/>
    <m/>
    <m/>
    <m/>
    <m/>
    <m/>
    <m/>
    <x v="1"/>
  </r>
  <r>
    <x v="1"/>
    <m/>
    <m/>
    <m/>
    <x v="1"/>
    <m/>
    <m/>
    <m/>
    <m/>
    <m/>
    <m/>
    <m/>
    <m/>
    <m/>
    <m/>
    <m/>
    <m/>
    <x v="1"/>
  </r>
  <r>
    <x v="1"/>
    <m/>
    <m/>
    <m/>
    <x v="1"/>
    <m/>
    <m/>
    <m/>
    <m/>
    <m/>
    <m/>
    <m/>
    <m/>
    <m/>
    <m/>
    <m/>
    <m/>
    <x v="1"/>
  </r>
  <r>
    <x v="1"/>
    <m/>
    <m/>
    <m/>
    <x v="1"/>
    <m/>
    <m/>
    <m/>
    <m/>
    <m/>
    <m/>
    <m/>
    <m/>
    <m/>
    <m/>
    <m/>
    <m/>
    <x v="1"/>
  </r>
  <r>
    <x v="1"/>
    <m/>
    <m/>
    <m/>
    <x v="1"/>
    <m/>
    <m/>
    <m/>
    <m/>
    <m/>
    <m/>
    <m/>
    <m/>
    <m/>
    <m/>
    <m/>
    <m/>
    <x v="1"/>
  </r>
  <r>
    <x v="1"/>
    <m/>
    <m/>
    <m/>
    <x v="1"/>
    <m/>
    <m/>
    <m/>
    <m/>
    <m/>
    <m/>
    <m/>
    <m/>
    <m/>
    <m/>
    <m/>
    <m/>
    <x v="1"/>
  </r>
  <r>
    <x v="1"/>
    <m/>
    <m/>
    <m/>
    <x v="1"/>
    <m/>
    <m/>
    <m/>
    <m/>
    <m/>
    <m/>
    <m/>
    <m/>
    <m/>
    <m/>
    <m/>
    <m/>
    <x v="1"/>
  </r>
  <r>
    <x v="1"/>
    <m/>
    <m/>
    <m/>
    <x v="1"/>
    <m/>
    <m/>
    <m/>
    <m/>
    <m/>
    <m/>
    <m/>
    <m/>
    <m/>
    <m/>
    <m/>
    <m/>
    <x v="1"/>
  </r>
  <r>
    <x v="1"/>
    <m/>
    <m/>
    <m/>
    <x v="1"/>
    <m/>
    <m/>
    <m/>
    <m/>
    <m/>
    <m/>
    <m/>
    <m/>
    <m/>
    <m/>
    <m/>
    <m/>
    <x v="1"/>
  </r>
  <r>
    <x v="1"/>
    <m/>
    <m/>
    <m/>
    <x v="1"/>
    <m/>
    <m/>
    <m/>
    <m/>
    <m/>
    <m/>
    <m/>
    <m/>
    <m/>
    <m/>
    <m/>
    <m/>
    <x v="1"/>
  </r>
  <r>
    <x v="1"/>
    <m/>
    <m/>
    <m/>
    <x v="1"/>
    <m/>
    <m/>
    <m/>
    <m/>
    <m/>
    <m/>
    <m/>
    <m/>
    <m/>
    <m/>
    <m/>
    <m/>
    <x v="1"/>
  </r>
  <r>
    <x v="1"/>
    <m/>
    <m/>
    <m/>
    <x v="1"/>
    <m/>
    <m/>
    <m/>
    <m/>
    <m/>
    <m/>
    <m/>
    <m/>
    <m/>
    <m/>
    <m/>
    <m/>
    <x v="1"/>
  </r>
  <r>
    <x v="1"/>
    <m/>
    <m/>
    <m/>
    <x v="1"/>
    <m/>
    <m/>
    <m/>
    <m/>
    <m/>
    <m/>
    <m/>
    <m/>
    <m/>
    <m/>
    <m/>
    <m/>
    <x v="1"/>
  </r>
  <r>
    <x v="1"/>
    <m/>
    <m/>
    <m/>
    <x v="1"/>
    <m/>
    <m/>
    <m/>
    <m/>
    <m/>
    <m/>
    <m/>
    <m/>
    <m/>
    <m/>
    <m/>
    <m/>
    <x v="1"/>
  </r>
  <r>
    <x v="1"/>
    <m/>
    <m/>
    <m/>
    <x v="1"/>
    <m/>
    <m/>
    <m/>
    <m/>
    <m/>
    <m/>
    <m/>
    <m/>
    <m/>
    <m/>
    <m/>
    <m/>
    <x v="1"/>
  </r>
  <r>
    <x v="1"/>
    <m/>
    <m/>
    <m/>
    <x v="1"/>
    <m/>
    <m/>
    <m/>
    <m/>
    <m/>
    <m/>
    <m/>
    <m/>
    <m/>
    <m/>
    <m/>
    <m/>
    <x v="1"/>
  </r>
  <r>
    <x v="1"/>
    <m/>
    <m/>
    <m/>
    <x v="1"/>
    <m/>
    <m/>
    <m/>
    <m/>
    <m/>
    <m/>
    <m/>
    <m/>
    <m/>
    <m/>
    <m/>
    <m/>
    <x v="1"/>
  </r>
  <r>
    <x v="1"/>
    <m/>
    <m/>
    <m/>
    <x v="1"/>
    <m/>
    <m/>
    <m/>
    <m/>
    <m/>
    <m/>
    <m/>
    <m/>
    <m/>
    <m/>
    <m/>
    <m/>
    <x v="1"/>
  </r>
  <r>
    <x v="1"/>
    <m/>
    <m/>
    <m/>
    <x v="1"/>
    <m/>
    <m/>
    <m/>
    <m/>
    <m/>
    <m/>
    <m/>
    <m/>
    <m/>
    <m/>
    <m/>
    <m/>
    <x v="1"/>
  </r>
  <r>
    <x v="1"/>
    <m/>
    <m/>
    <m/>
    <x v="1"/>
    <m/>
    <m/>
    <m/>
    <m/>
    <m/>
    <m/>
    <m/>
    <m/>
    <m/>
    <m/>
    <m/>
    <m/>
    <x v="1"/>
  </r>
  <r>
    <x v="1"/>
    <m/>
    <m/>
    <m/>
    <x v="1"/>
    <m/>
    <m/>
    <m/>
    <m/>
    <m/>
    <m/>
    <m/>
    <m/>
    <m/>
    <m/>
    <m/>
    <m/>
    <x v="1"/>
  </r>
  <r>
    <x v="1"/>
    <m/>
    <m/>
    <m/>
    <x v="1"/>
    <m/>
    <m/>
    <m/>
    <m/>
    <m/>
    <m/>
    <m/>
    <m/>
    <m/>
    <m/>
    <m/>
    <m/>
    <x v="1"/>
  </r>
  <r>
    <x v="1"/>
    <m/>
    <m/>
    <m/>
    <x v="1"/>
    <m/>
    <m/>
    <m/>
    <m/>
    <m/>
    <m/>
    <m/>
    <m/>
    <m/>
    <m/>
    <m/>
    <m/>
    <x v="1"/>
  </r>
  <r>
    <x v="1"/>
    <m/>
    <m/>
    <m/>
    <x v="1"/>
    <m/>
    <m/>
    <m/>
    <m/>
    <m/>
    <m/>
    <m/>
    <m/>
    <m/>
    <m/>
    <m/>
    <m/>
    <x v="1"/>
  </r>
  <r>
    <x v="1"/>
    <m/>
    <m/>
    <m/>
    <x v="1"/>
    <m/>
    <m/>
    <m/>
    <m/>
    <m/>
    <m/>
    <m/>
    <m/>
    <m/>
    <m/>
    <m/>
    <m/>
    <x v="1"/>
  </r>
  <r>
    <x v="1"/>
    <m/>
    <m/>
    <m/>
    <x v="1"/>
    <m/>
    <m/>
    <m/>
    <m/>
    <m/>
    <m/>
    <m/>
    <m/>
    <m/>
    <m/>
    <m/>
    <m/>
    <x v="1"/>
  </r>
  <r>
    <x v="1"/>
    <m/>
    <m/>
    <m/>
    <x v="1"/>
    <m/>
    <m/>
    <m/>
    <m/>
    <m/>
    <m/>
    <m/>
    <m/>
    <m/>
    <m/>
    <m/>
    <m/>
    <x v="1"/>
  </r>
  <r>
    <x v="1"/>
    <m/>
    <m/>
    <m/>
    <x v="1"/>
    <m/>
    <m/>
    <m/>
    <m/>
    <m/>
    <m/>
    <m/>
    <m/>
    <m/>
    <m/>
    <m/>
    <m/>
    <x v="1"/>
  </r>
  <r>
    <x v="1"/>
    <m/>
    <m/>
    <m/>
    <x v="1"/>
    <m/>
    <m/>
    <m/>
    <m/>
    <m/>
    <m/>
    <m/>
    <m/>
    <m/>
    <m/>
    <m/>
    <m/>
    <x v="1"/>
  </r>
  <r>
    <x v="1"/>
    <m/>
    <m/>
    <m/>
    <x v="1"/>
    <m/>
    <m/>
    <m/>
    <m/>
    <m/>
    <m/>
    <m/>
    <m/>
    <m/>
    <m/>
    <m/>
    <m/>
    <x v="1"/>
  </r>
  <r>
    <x v="1"/>
    <m/>
    <m/>
    <m/>
    <x v="1"/>
    <m/>
    <m/>
    <m/>
    <m/>
    <m/>
    <m/>
    <m/>
    <m/>
    <m/>
    <m/>
    <m/>
    <m/>
    <x v="1"/>
  </r>
  <r>
    <x v="1"/>
    <m/>
    <m/>
    <m/>
    <x v="1"/>
    <m/>
    <m/>
    <m/>
    <m/>
    <m/>
    <m/>
    <m/>
    <m/>
    <m/>
    <m/>
    <m/>
    <m/>
    <x v="1"/>
  </r>
  <r>
    <x v="1"/>
    <m/>
    <m/>
    <m/>
    <x v="1"/>
    <m/>
    <m/>
    <m/>
    <m/>
    <m/>
    <m/>
    <m/>
    <m/>
    <m/>
    <m/>
    <m/>
    <m/>
    <x v="1"/>
  </r>
  <r>
    <x v="1"/>
    <m/>
    <m/>
    <m/>
    <x v="1"/>
    <m/>
    <m/>
    <m/>
    <m/>
    <m/>
    <m/>
    <m/>
    <m/>
    <m/>
    <m/>
    <m/>
    <m/>
    <x v="1"/>
  </r>
  <r>
    <x v="1"/>
    <m/>
    <m/>
    <m/>
    <x v="1"/>
    <m/>
    <m/>
    <m/>
    <m/>
    <m/>
    <m/>
    <m/>
    <m/>
    <m/>
    <m/>
    <m/>
    <m/>
    <x v="1"/>
  </r>
  <r>
    <x v="1"/>
    <m/>
    <m/>
    <m/>
    <x v="1"/>
    <m/>
    <m/>
    <m/>
    <m/>
    <m/>
    <m/>
    <m/>
    <m/>
    <m/>
    <m/>
    <m/>
    <m/>
    <x v="1"/>
  </r>
  <r>
    <x v="1"/>
    <m/>
    <m/>
    <m/>
    <x v="1"/>
    <m/>
    <m/>
    <m/>
    <m/>
    <m/>
    <m/>
    <m/>
    <m/>
    <m/>
    <m/>
    <m/>
    <m/>
    <x v="1"/>
  </r>
  <r>
    <x v="1"/>
    <m/>
    <m/>
    <m/>
    <x v="1"/>
    <m/>
    <m/>
    <m/>
    <m/>
    <m/>
    <m/>
    <m/>
    <m/>
    <m/>
    <m/>
    <m/>
    <m/>
    <x v="1"/>
  </r>
  <r>
    <x v="1"/>
    <m/>
    <m/>
    <m/>
    <x v="1"/>
    <m/>
    <m/>
    <m/>
    <m/>
    <m/>
    <m/>
    <m/>
    <m/>
    <m/>
    <m/>
    <m/>
    <m/>
    <x v="1"/>
  </r>
  <r>
    <x v="1"/>
    <m/>
    <m/>
    <m/>
    <x v="1"/>
    <m/>
    <m/>
    <m/>
    <m/>
    <m/>
    <m/>
    <m/>
    <m/>
    <m/>
    <m/>
    <m/>
    <m/>
    <x v="1"/>
  </r>
  <r>
    <x v="1"/>
    <m/>
    <m/>
    <m/>
    <x v="1"/>
    <m/>
    <m/>
    <m/>
    <m/>
    <m/>
    <m/>
    <m/>
    <m/>
    <m/>
    <m/>
    <m/>
    <m/>
    <x v="1"/>
  </r>
  <r>
    <x v="1"/>
    <m/>
    <m/>
    <m/>
    <x v="1"/>
    <m/>
    <m/>
    <m/>
    <m/>
    <m/>
    <m/>
    <m/>
    <m/>
    <m/>
    <m/>
    <m/>
    <m/>
    <x v="1"/>
  </r>
  <r>
    <x v="1"/>
    <m/>
    <m/>
    <m/>
    <x v="1"/>
    <m/>
    <m/>
    <m/>
    <m/>
    <m/>
    <m/>
    <m/>
    <m/>
    <m/>
    <m/>
    <m/>
    <m/>
    <x v="1"/>
  </r>
  <r>
    <x v="1"/>
    <m/>
    <m/>
    <m/>
    <x v="1"/>
    <m/>
    <m/>
    <m/>
    <m/>
    <m/>
    <m/>
    <m/>
    <m/>
    <m/>
    <m/>
    <m/>
    <m/>
    <x v="1"/>
  </r>
  <r>
    <x v="1"/>
    <m/>
    <m/>
    <m/>
    <x v="1"/>
    <m/>
    <m/>
    <m/>
    <m/>
    <m/>
    <m/>
    <m/>
    <m/>
    <m/>
    <m/>
    <m/>
    <m/>
    <x v="1"/>
  </r>
  <r>
    <x v="1"/>
    <m/>
    <m/>
    <m/>
    <x v="1"/>
    <m/>
    <m/>
    <m/>
    <m/>
    <m/>
    <m/>
    <m/>
    <m/>
    <m/>
    <m/>
    <m/>
    <m/>
    <x v="1"/>
  </r>
  <r>
    <x v="1"/>
    <m/>
    <m/>
    <m/>
    <x v="1"/>
    <m/>
    <m/>
    <m/>
    <m/>
    <m/>
    <m/>
    <m/>
    <m/>
    <m/>
    <m/>
    <m/>
    <m/>
    <x v="1"/>
  </r>
  <r>
    <x v="1"/>
    <m/>
    <m/>
    <m/>
    <x v="1"/>
    <m/>
    <m/>
    <m/>
    <m/>
    <m/>
    <m/>
    <m/>
    <m/>
    <m/>
    <m/>
    <m/>
    <m/>
    <x v="1"/>
  </r>
  <r>
    <x v="1"/>
    <m/>
    <m/>
    <m/>
    <x v="1"/>
    <m/>
    <m/>
    <m/>
    <m/>
    <m/>
    <m/>
    <m/>
    <m/>
    <m/>
    <m/>
    <m/>
    <m/>
    <x v="1"/>
  </r>
  <r>
    <x v="1"/>
    <m/>
    <m/>
    <m/>
    <x v="1"/>
    <m/>
    <m/>
    <m/>
    <m/>
    <m/>
    <m/>
    <m/>
    <m/>
    <m/>
    <m/>
    <m/>
    <m/>
    <x v="1"/>
  </r>
  <r>
    <x v="1"/>
    <m/>
    <m/>
    <m/>
    <x v="1"/>
    <m/>
    <m/>
    <m/>
    <m/>
    <m/>
    <m/>
    <m/>
    <m/>
    <m/>
    <m/>
    <m/>
    <m/>
    <x v="1"/>
  </r>
  <r>
    <x v="1"/>
    <m/>
    <m/>
    <m/>
    <x v="1"/>
    <m/>
    <m/>
    <m/>
    <m/>
    <m/>
    <m/>
    <m/>
    <m/>
    <m/>
    <m/>
    <m/>
    <m/>
    <x v="1"/>
  </r>
  <r>
    <x v="1"/>
    <m/>
    <m/>
    <m/>
    <x v="1"/>
    <m/>
    <m/>
    <m/>
    <m/>
    <m/>
    <m/>
    <m/>
    <m/>
    <m/>
    <m/>
    <m/>
    <m/>
    <x v="1"/>
  </r>
  <r>
    <x v="1"/>
    <m/>
    <m/>
    <m/>
    <x v="1"/>
    <m/>
    <m/>
    <m/>
    <m/>
    <m/>
    <m/>
    <m/>
    <m/>
    <m/>
    <m/>
    <m/>
    <m/>
    <x v="1"/>
  </r>
  <r>
    <x v="1"/>
    <m/>
    <m/>
    <m/>
    <x v="1"/>
    <m/>
    <m/>
    <m/>
    <m/>
    <m/>
    <m/>
    <m/>
    <m/>
    <m/>
    <m/>
    <m/>
    <m/>
    <x v="1"/>
  </r>
  <r>
    <x v="1"/>
    <m/>
    <m/>
    <m/>
    <x v="1"/>
    <m/>
    <m/>
    <m/>
    <m/>
    <m/>
    <m/>
    <m/>
    <m/>
    <m/>
    <m/>
    <m/>
    <m/>
    <x v="1"/>
  </r>
  <r>
    <x v="1"/>
    <m/>
    <m/>
    <m/>
    <x v="1"/>
    <m/>
    <m/>
    <m/>
    <m/>
    <m/>
    <m/>
    <m/>
    <m/>
    <m/>
    <m/>
    <m/>
    <m/>
    <x v="1"/>
  </r>
  <r>
    <x v="1"/>
    <m/>
    <m/>
    <m/>
    <x v="1"/>
    <m/>
    <m/>
    <m/>
    <m/>
    <m/>
    <m/>
    <m/>
    <m/>
    <m/>
    <m/>
    <m/>
    <m/>
    <x v="1"/>
  </r>
  <r>
    <x v="1"/>
    <m/>
    <m/>
    <m/>
    <x v="1"/>
    <m/>
    <m/>
    <m/>
    <m/>
    <m/>
    <m/>
    <m/>
    <m/>
    <m/>
    <m/>
    <m/>
    <m/>
    <x v="1"/>
  </r>
  <r>
    <x v="1"/>
    <m/>
    <m/>
    <m/>
    <x v="1"/>
    <m/>
    <m/>
    <m/>
    <m/>
    <m/>
    <m/>
    <m/>
    <m/>
    <m/>
    <m/>
    <m/>
    <m/>
    <x v="1"/>
  </r>
  <r>
    <x v="1"/>
    <m/>
    <m/>
    <m/>
    <x v="1"/>
    <m/>
    <m/>
    <m/>
    <m/>
    <m/>
    <m/>
    <m/>
    <m/>
    <m/>
    <m/>
    <m/>
    <m/>
    <x v="1"/>
  </r>
  <r>
    <x v="1"/>
    <m/>
    <m/>
    <m/>
    <x v="1"/>
    <m/>
    <m/>
    <m/>
    <m/>
    <m/>
    <m/>
    <m/>
    <m/>
    <m/>
    <m/>
    <m/>
    <m/>
    <x v="1"/>
  </r>
  <r>
    <x v="1"/>
    <m/>
    <m/>
    <m/>
    <x v="1"/>
    <m/>
    <m/>
    <m/>
    <m/>
    <m/>
    <m/>
    <m/>
    <m/>
    <m/>
    <m/>
    <m/>
    <m/>
    <x v="1"/>
  </r>
  <r>
    <x v="1"/>
    <m/>
    <m/>
    <m/>
    <x v="1"/>
    <m/>
    <m/>
    <m/>
    <m/>
    <m/>
    <m/>
    <m/>
    <m/>
    <m/>
    <m/>
    <m/>
    <m/>
    <x v="1"/>
  </r>
  <r>
    <x v="1"/>
    <m/>
    <m/>
    <m/>
    <x v="1"/>
    <m/>
    <m/>
    <m/>
    <m/>
    <m/>
    <m/>
    <m/>
    <m/>
    <m/>
    <m/>
    <m/>
    <m/>
    <x v="1"/>
  </r>
  <r>
    <x v="1"/>
    <m/>
    <m/>
    <m/>
    <x v="1"/>
    <m/>
    <m/>
    <m/>
    <m/>
    <m/>
    <m/>
    <m/>
    <m/>
    <m/>
    <m/>
    <m/>
    <m/>
    <x v="1"/>
  </r>
  <r>
    <x v="1"/>
    <m/>
    <m/>
    <m/>
    <x v="1"/>
    <m/>
    <m/>
    <m/>
    <m/>
    <m/>
    <m/>
    <m/>
    <m/>
    <m/>
    <m/>
    <m/>
    <m/>
    <x v="1"/>
  </r>
  <r>
    <x v="1"/>
    <m/>
    <m/>
    <m/>
    <x v="1"/>
    <m/>
    <m/>
    <m/>
    <m/>
    <m/>
    <m/>
    <m/>
    <m/>
    <m/>
    <m/>
    <m/>
    <m/>
    <x v="1"/>
  </r>
  <r>
    <x v="1"/>
    <m/>
    <m/>
    <m/>
    <x v="1"/>
    <m/>
    <m/>
    <m/>
    <m/>
    <m/>
    <m/>
    <m/>
    <m/>
    <m/>
    <m/>
    <m/>
    <m/>
    <x v="1"/>
  </r>
  <r>
    <x v="1"/>
    <m/>
    <m/>
    <m/>
    <x v="1"/>
    <m/>
    <m/>
    <m/>
    <m/>
    <m/>
    <m/>
    <m/>
    <m/>
    <m/>
    <m/>
    <m/>
    <m/>
    <x v="1"/>
  </r>
  <r>
    <x v="1"/>
    <m/>
    <m/>
    <m/>
    <x v="1"/>
    <m/>
    <m/>
    <m/>
    <m/>
    <m/>
    <m/>
    <m/>
    <m/>
    <m/>
    <m/>
    <m/>
    <m/>
    <x v="1"/>
  </r>
  <r>
    <x v="1"/>
    <m/>
    <m/>
    <m/>
    <x v="1"/>
    <m/>
    <m/>
    <m/>
    <m/>
    <m/>
    <m/>
    <m/>
    <m/>
    <m/>
    <m/>
    <m/>
    <m/>
    <x v="1"/>
  </r>
  <r>
    <x v="1"/>
    <m/>
    <m/>
    <m/>
    <x v="1"/>
    <m/>
    <m/>
    <m/>
    <m/>
    <m/>
    <m/>
    <m/>
    <m/>
    <m/>
    <m/>
    <m/>
    <m/>
    <x v="1"/>
  </r>
  <r>
    <x v="1"/>
    <m/>
    <m/>
    <m/>
    <x v="1"/>
    <m/>
    <m/>
    <m/>
    <m/>
    <m/>
    <m/>
    <m/>
    <m/>
    <m/>
    <m/>
    <m/>
    <m/>
    <x v="1"/>
  </r>
  <r>
    <x v="1"/>
    <m/>
    <m/>
    <m/>
    <x v="1"/>
    <m/>
    <m/>
    <m/>
    <m/>
    <m/>
    <m/>
    <m/>
    <m/>
    <m/>
    <m/>
    <m/>
    <m/>
    <x v="1"/>
  </r>
  <r>
    <x v="1"/>
    <m/>
    <m/>
    <m/>
    <x v="1"/>
    <m/>
    <m/>
    <m/>
    <m/>
    <m/>
    <m/>
    <m/>
    <m/>
    <m/>
    <m/>
    <m/>
    <m/>
    <x v="1"/>
  </r>
  <r>
    <x v="1"/>
    <m/>
    <m/>
    <m/>
    <x v="1"/>
    <m/>
    <m/>
    <m/>
    <m/>
    <m/>
    <m/>
    <m/>
    <m/>
    <m/>
    <m/>
    <m/>
    <m/>
    <x v="1"/>
  </r>
  <r>
    <x v="1"/>
    <m/>
    <m/>
    <m/>
    <x v="1"/>
    <m/>
    <m/>
    <m/>
    <m/>
    <m/>
    <m/>
    <m/>
    <m/>
    <m/>
    <m/>
    <m/>
    <m/>
    <x v="1"/>
  </r>
  <r>
    <x v="1"/>
    <m/>
    <m/>
    <m/>
    <x v="1"/>
    <m/>
    <m/>
    <m/>
    <m/>
    <m/>
    <m/>
    <m/>
    <m/>
    <m/>
    <m/>
    <m/>
    <m/>
    <x v="1"/>
  </r>
  <r>
    <x v="1"/>
    <m/>
    <m/>
    <m/>
    <x v="1"/>
    <m/>
    <m/>
    <m/>
    <m/>
    <m/>
    <m/>
    <m/>
    <m/>
    <m/>
    <m/>
    <m/>
    <m/>
    <x v="1"/>
  </r>
  <r>
    <x v="1"/>
    <m/>
    <m/>
    <m/>
    <x v="1"/>
    <m/>
    <m/>
    <m/>
    <m/>
    <m/>
    <m/>
    <m/>
    <m/>
    <m/>
    <m/>
    <m/>
    <m/>
    <x v="1"/>
  </r>
  <r>
    <x v="1"/>
    <m/>
    <m/>
    <m/>
    <x v="1"/>
    <m/>
    <m/>
    <m/>
    <m/>
    <m/>
    <m/>
    <m/>
    <m/>
    <m/>
    <m/>
    <m/>
    <m/>
    <x v="1"/>
  </r>
  <r>
    <x v="1"/>
    <m/>
    <m/>
    <m/>
    <x v="1"/>
    <m/>
    <m/>
    <m/>
    <m/>
    <m/>
    <m/>
    <m/>
    <m/>
    <m/>
    <m/>
    <m/>
    <m/>
    <x v="1"/>
  </r>
  <r>
    <x v="1"/>
    <m/>
    <m/>
    <m/>
    <x v="1"/>
    <m/>
    <m/>
    <m/>
    <m/>
    <m/>
    <m/>
    <m/>
    <m/>
    <m/>
    <m/>
    <m/>
    <m/>
    <x v="1"/>
  </r>
  <r>
    <x v="1"/>
    <m/>
    <m/>
    <m/>
    <x v="1"/>
    <m/>
    <m/>
    <m/>
    <m/>
    <m/>
    <m/>
    <m/>
    <m/>
    <m/>
    <m/>
    <m/>
    <m/>
    <x v="1"/>
  </r>
  <r>
    <x v="1"/>
    <m/>
    <m/>
    <m/>
    <x v="1"/>
    <m/>
    <m/>
    <m/>
    <m/>
    <m/>
    <m/>
    <m/>
    <m/>
    <m/>
    <m/>
    <m/>
    <m/>
    <x v="1"/>
  </r>
  <r>
    <x v="1"/>
    <m/>
    <m/>
    <m/>
    <x v="1"/>
    <m/>
    <m/>
    <m/>
    <m/>
    <m/>
    <m/>
    <m/>
    <m/>
    <m/>
    <m/>
    <m/>
    <m/>
    <x v="1"/>
  </r>
  <r>
    <x v="1"/>
    <m/>
    <m/>
    <m/>
    <x v="1"/>
    <m/>
    <m/>
    <m/>
    <m/>
    <m/>
    <m/>
    <m/>
    <m/>
    <m/>
    <m/>
    <m/>
    <m/>
    <x v="1"/>
  </r>
  <r>
    <x v="1"/>
    <m/>
    <m/>
    <m/>
    <x v="1"/>
    <m/>
    <m/>
    <m/>
    <m/>
    <m/>
    <m/>
    <m/>
    <m/>
    <m/>
    <m/>
    <m/>
    <m/>
    <x v="1"/>
  </r>
  <r>
    <x v="1"/>
    <m/>
    <m/>
    <m/>
    <x v="1"/>
    <m/>
    <m/>
    <m/>
    <m/>
    <m/>
    <m/>
    <m/>
    <m/>
    <m/>
    <m/>
    <m/>
    <m/>
    <x v="1"/>
  </r>
  <r>
    <x v="1"/>
    <m/>
    <m/>
    <m/>
    <x v="1"/>
    <m/>
    <m/>
    <m/>
    <m/>
    <m/>
    <m/>
    <m/>
    <m/>
    <m/>
    <m/>
    <m/>
    <m/>
    <x v="1"/>
  </r>
  <r>
    <x v="1"/>
    <m/>
    <m/>
    <m/>
    <x v="1"/>
    <m/>
    <m/>
    <m/>
    <m/>
    <m/>
    <m/>
    <m/>
    <m/>
    <m/>
    <m/>
    <m/>
    <m/>
    <x v="1"/>
  </r>
  <r>
    <x v="1"/>
    <m/>
    <m/>
    <m/>
    <x v="1"/>
    <m/>
    <m/>
    <m/>
    <m/>
    <m/>
    <m/>
    <m/>
    <m/>
    <m/>
    <m/>
    <m/>
    <m/>
    <x v="1"/>
  </r>
  <r>
    <x v="1"/>
    <m/>
    <m/>
    <m/>
    <x v="1"/>
    <m/>
    <m/>
    <m/>
    <m/>
    <m/>
    <m/>
    <m/>
    <m/>
    <m/>
    <m/>
    <m/>
    <m/>
    <x v="1"/>
  </r>
  <r>
    <x v="1"/>
    <m/>
    <m/>
    <m/>
    <x v="1"/>
    <m/>
    <m/>
    <m/>
    <m/>
    <m/>
    <m/>
    <m/>
    <m/>
    <m/>
    <m/>
    <m/>
    <m/>
    <x v="1"/>
  </r>
  <r>
    <x v="1"/>
    <m/>
    <m/>
    <m/>
    <x v="1"/>
    <m/>
    <m/>
    <m/>
    <m/>
    <m/>
    <m/>
    <m/>
    <m/>
    <m/>
    <m/>
    <m/>
    <m/>
    <x v="1"/>
  </r>
  <r>
    <x v="1"/>
    <m/>
    <m/>
    <m/>
    <x v="1"/>
    <m/>
    <m/>
    <m/>
    <m/>
    <m/>
    <m/>
    <m/>
    <m/>
    <m/>
    <m/>
    <m/>
    <m/>
    <x v="1"/>
  </r>
  <r>
    <x v="1"/>
    <m/>
    <m/>
    <m/>
    <x v="1"/>
    <m/>
    <m/>
    <m/>
    <m/>
    <m/>
    <m/>
    <m/>
    <m/>
    <m/>
    <m/>
    <m/>
    <m/>
    <x v="1"/>
  </r>
  <r>
    <x v="1"/>
    <m/>
    <m/>
    <m/>
    <x v="1"/>
    <m/>
    <m/>
    <m/>
    <m/>
    <m/>
    <m/>
    <m/>
    <m/>
    <m/>
    <m/>
    <m/>
    <m/>
    <x v="1"/>
  </r>
  <r>
    <x v="1"/>
    <m/>
    <m/>
    <m/>
    <x v="1"/>
    <m/>
    <m/>
    <m/>
    <m/>
    <m/>
    <m/>
    <m/>
    <m/>
    <m/>
    <m/>
    <m/>
    <m/>
    <x v="1"/>
  </r>
  <r>
    <x v="1"/>
    <m/>
    <m/>
    <m/>
    <x v="1"/>
    <m/>
    <m/>
    <m/>
    <m/>
    <m/>
    <m/>
    <m/>
    <m/>
    <m/>
    <m/>
    <m/>
    <m/>
    <x v="1"/>
  </r>
  <r>
    <x v="1"/>
    <m/>
    <m/>
    <m/>
    <x v="1"/>
    <m/>
    <m/>
    <m/>
    <m/>
    <m/>
    <m/>
    <m/>
    <m/>
    <m/>
    <m/>
    <m/>
    <m/>
    <x v="1"/>
  </r>
  <r>
    <x v="1"/>
    <m/>
    <m/>
    <m/>
    <x v="1"/>
    <m/>
    <m/>
    <m/>
    <m/>
    <m/>
    <m/>
    <m/>
    <m/>
    <m/>
    <m/>
    <m/>
    <m/>
    <x v="1"/>
  </r>
  <r>
    <x v="1"/>
    <m/>
    <m/>
    <m/>
    <x v="1"/>
    <m/>
    <m/>
    <m/>
    <m/>
    <m/>
    <m/>
    <m/>
    <m/>
    <m/>
    <m/>
    <m/>
    <m/>
    <x v="1"/>
  </r>
  <r>
    <x v="1"/>
    <m/>
    <m/>
    <m/>
    <x v="1"/>
    <m/>
    <m/>
    <m/>
    <m/>
    <m/>
    <m/>
    <m/>
    <m/>
    <m/>
    <m/>
    <m/>
    <m/>
    <x v="1"/>
  </r>
  <r>
    <x v="1"/>
    <m/>
    <m/>
    <m/>
    <x v="1"/>
    <m/>
    <m/>
    <m/>
    <m/>
    <m/>
    <m/>
    <m/>
    <m/>
    <m/>
    <m/>
    <m/>
    <m/>
    <x v="1"/>
  </r>
  <r>
    <x v="1"/>
    <m/>
    <m/>
    <m/>
    <x v="1"/>
    <m/>
    <m/>
    <m/>
    <m/>
    <m/>
    <m/>
    <m/>
    <m/>
    <m/>
    <m/>
    <m/>
    <m/>
    <x v="1"/>
  </r>
  <r>
    <x v="1"/>
    <m/>
    <m/>
    <m/>
    <x v="1"/>
    <m/>
    <m/>
    <m/>
    <m/>
    <m/>
    <m/>
    <m/>
    <m/>
    <m/>
    <m/>
    <m/>
    <m/>
    <x v="1"/>
  </r>
  <r>
    <x v="1"/>
    <m/>
    <m/>
    <m/>
    <x v="1"/>
    <m/>
    <m/>
    <m/>
    <m/>
    <m/>
    <m/>
    <m/>
    <m/>
    <m/>
    <m/>
    <m/>
    <m/>
    <x v="1"/>
  </r>
  <r>
    <x v="1"/>
    <m/>
    <m/>
    <m/>
    <x v="1"/>
    <m/>
    <m/>
    <m/>
    <m/>
    <m/>
    <m/>
    <m/>
    <m/>
    <m/>
    <m/>
    <m/>
    <m/>
    <x v="1"/>
  </r>
  <r>
    <x v="1"/>
    <m/>
    <m/>
    <m/>
    <x v="1"/>
    <m/>
    <m/>
    <m/>
    <m/>
    <m/>
    <m/>
    <m/>
    <m/>
    <m/>
    <m/>
    <m/>
    <m/>
    <x v="1"/>
  </r>
  <r>
    <x v="1"/>
    <m/>
    <m/>
    <m/>
    <x v="1"/>
    <m/>
    <m/>
    <m/>
    <m/>
    <m/>
    <m/>
    <m/>
    <m/>
    <m/>
    <m/>
    <m/>
    <m/>
    <x v="1"/>
  </r>
  <r>
    <x v="1"/>
    <m/>
    <m/>
    <m/>
    <x v="1"/>
    <m/>
    <m/>
    <m/>
    <m/>
    <m/>
    <m/>
    <m/>
    <m/>
    <m/>
    <m/>
    <m/>
    <m/>
    <x v="1"/>
  </r>
  <r>
    <x v="1"/>
    <m/>
    <m/>
    <m/>
    <x v="1"/>
    <m/>
    <m/>
    <m/>
    <m/>
    <m/>
    <m/>
    <m/>
    <m/>
    <m/>
    <m/>
    <m/>
    <m/>
    <x v="1"/>
  </r>
  <r>
    <x v="1"/>
    <m/>
    <m/>
    <m/>
    <x v="1"/>
    <m/>
    <m/>
    <m/>
    <m/>
    <m/>
    <m/>
    <m/>
    <m/>
    <m/>
    <m/>
    <m/>
    <m/>
    <x v="1"/>
  </r>
  <r>
    <x v="1"/>
    <m/>
    <m/>
    <m/>
    <x v="1"/>
    <m/>
    <m/>
    <m/>
    <m/>
    <m/>
    <m/>
    <m/>
    <m/>
    <m/>
    <m/>
    <m/>
    <m/>
    <x v="1"/>
  </r>
  <r>
    <x v="1"/>
    <m/>
    <m/>
    <m/>
    <x v="1"/>
    <m/>
    <m/>
    <m/>
    <m/>
    <m/>
    <m/>
    <m/>
    <m/>
    <m/>
    <m/>
    <m/>
    <m/>
    <x v="1"/>
  </r>
  <r>
    <x v="1"/>
    <m/>
    <m/>
    <m/>
    <x v="1"/>
    <m/>
    <m/>
    <m/>
    <m/>
    <m/>
    <m/>
    <m/>
    <m/>
    <m/>
    <m/>
    <m/>
    <m/>
    <x v="1"/>
  </r>
  <r>
    <x v="1"/>
    <m/>
    <m/>
    <m/>
    <x v="1"/>
    <m/>
    <m/>
    <m/>
    <m/>
    <m/>
    <m/>
    <m/>
    <m/>
    <m/>
    <m/>
    <m/>
    <m/>
    <x v="1"/>
  </r>
  <r>
    <x v="1"/>
    <m/>
    <m/>
    <m/>
    <x v="1"/>
    <m/>
    <m/>
    <m/>
    <m/>
    <m/>
    <m/>
    <m/>
    <m/>
    <m/>
    <m/>
    <m/>
    <m/>
    <x v="1"/>
  </r>
  <r>
    <x v="1"/>
    <m/>
    <m/>
    <m/>
    <x v="1"/>
    <m/>
    <m/>
    <m/>
    <m/>
    <m/>
    <m/>
    <m/>
    <m/>
    <m/>
    <m/>
    <m/>
    <m/>
    <x v="1"/>
  </r>
  <r>
    <x v="1"/>
    <m/>
    <m/>
    <m/>
    <x v="1"/>
    <m/>
    <m/>
    <m/>
    <m/>
    <m/>
    <m/>
    <m/>
    <m/>
    <m/>
    <m/>
    <m/>
    <m/>
    <x v="1"/>
  </r>
  <r>
    <x v="1"/>
    <m/>
    <m/>
    <m/>
    <x v="1"/>
    <m/>
    <m/>
    <m/>
    <m/>
    <m/>
    <m/>
    <m/>
    <m/>
    <m/>
    <m/>
    <m/>
    <m/>
    <x v="1"/>
  </r>
  <r>
    <x v="1"/>
    <m/>
    <m/>
    <m/>
    <x v="1"/>
    <m/>
    <m/>
    <m/>
    <m/>
    <m/>
    <m/>
    <m/>
    <m/>
    <m/>
    <m/>
    <m/>
    <m/>
    <x v="1"/>
  </r>
  <r>
    <x v="1"/>
    <m/>
    <m/>
    <m/>
    <x v="1"/>
    <m/>
    <m/>
    <m/>
    <m/>
    <m/>
    <m/>
    <m/>
    <m/>
    <m/>
    <m/>
    <m/>
    <m/>
    <x v="1"/>
  </r>
  <r>
    <x v="1"/>
    <m/>
    <m/>
    <m/>
    <x v="1"/>
    <m/>
    <m/>
    <m/>
    <m/>
    <m/>
    <m/>
    <m/>
    <m/>
    <m/>
    <m/>
    <m/>
    <m/>
    <x v="1"/>
  </r>
  <r>
    <x v="1"/>
    <m/>
    <m/>
    <m/>
    <x v="1"/>
    <m/>
    <m/>
    <m/>
    <m/>
    <m/>
    <m/>
    <m/>
    <m/>
    <m/>
    <m/>
    <m/>
    <m/>
    <x v="1"/>
  </r>
  <r>
    <x v="1"/>
    <m/>
    <m/>
    <m/>
    <x v="1"/>
    <m/>
    <m/>
    <m/>
    <m/>
    <m/>
    <m/>
    <m/>
    <m/>
    <m/>
    <m/>
    <m/>
    <m/>
    <x v="1"/>
  </r>
  <r>
    <x v="1"/>
    <m/>
    <m/>
    <m/>
    <x v="1"/>
    <m/>
    <m/>
    <m/>
    <m/>
    <m/>
    <m/>
    <m/>
    <m/>
    <m/>
    <m/>
    <m/>
    <m/>
    <x v="1"/>
  </r>
  <r>
    <x v="1"/>
    <m/>
    <m/>
    <m/>
    <x v="1"/>
    <m/>
    <m/>
    <m/>
    <m/>
    <m/>
    <m/>
    <m/>
    <m/>
    <m/>
    <m/>
    <m/>
    <m/>
    <x v="1"/>
  </r>
  <r>
    <x v="1"/>
    <m/>
    <m/>
    <m/>
    <x v="1"/>
    <m/>
    <m/>
    <m/>
    <m/>
    <m/>
    <m/>
    <m/>
    <m/>
    <m/>
    <m/>
    <m/>
    <m/>
    <x v="1"/>
  </r>
  <r>
    <x v="1"/>
    <m/>
    <m/>
    <m/>
    <x v="1"/>
    <m/>
    <m/>
    <m/>
    <m/>
    <m/>
    <m/>
    <m/>
    <m/>
    <m/>
    <m/>
    <m/>
    <m/>
    <x v="1"/>
  </r>
  <r>
    <x v="1"/>
    <m/>
    <m/>
    <m/>
    <x v="1"/>
    <m/>
    <m/>
    <m/>
    <m/>
    <m/>
    <m/>
    <m/>
    <m/>
    <m/>
    <m/>
    <m/>
    <m/>
    <x v="1"/>
  </r>
  <r>
    <x v="1"/>
    <m/>
    <m/>
    <m/>
    <x v="1"/>
    <m/>
    <m/>
    <m/>
    <m/>
    <m/>
    <m/>
    <m/>
    <m/>
    <m/>
    <m/>
    <m/>
    <m/>
    <x v="1"/>
  </r>
  <r>
    <x v="1"/>
    <m/>
    <m/>
    <m/>
    <x v="1"/>
    <m/>
    <m/>
    <m/>
    <m/>
    <m/>
    <m/>
    <m/>
    <m/>
    <m/>
    <m/>
    <m/>
    <m/>
    <x v="1"/>
  </r>
  <r>
    <x v="1"/>
    <m/>
    <m/>
    <m/>
    <x v="1"/>
    <m/>
    <m/>
    <m/>
    <m/>
    <m/>
    <m/>
    <m/>
    <m/>
    <m/>
    <m/>
    <m/>
    <m/>
    <x v="1"/>
  </r>
  <r>
    <x v="1"/>
    <m/>
    <m/>
    <m/>
    <x v="1"/>
    <m/>
    <m/>
    <m/>
    <m/>
    <m/>
    <m/>
    <m/>
    <m/>
    <m/>
    <m/>
    <m/>
    <m/>
    <x v="1"/>
  </r>
  <r>
    <x v="1"/>
    <m/>
    <m/>
    <m/>
    <x v="1"/>
    <m/>
    <m/>
    <m/>
    <m/>
    <m/>
    <m/>
    <m/>
    <m/>
    <m/>
    <m/>
    <m/>
    <m/>
    <x v="1"/>
  </r>
  <r>
    <x v="1"/>
    <m/>
    <m/>
    <m/>
    <x v="1"/>
    <m/>
    <m/>
    <m/>
    <m/>
    <m/>
    <m/>
    <m/>
    <m/>
    <m/>
    <m/>
    <m/>
    <m/>
    <x v="1"/>
  </r>
  <r>
    <x v="1"/>
    <m/>
    <m/>
    <m/>
    <x v="1"/>
    <m/>
    <m/>
    <m/>
    <m/>
    <m/>
    <m/>
    <m/>
    <m/>
    <m/>
    <m/>
    <m/>
    <m/>
    <x v="1"/>
  </r>
  <r>
    <x v="1"/>
    <m/>
    <m/>
    <m/>
    <x v="1"/>
    <m/>
    <m/>
    <m/>
    <m/>
    <m/>
    <m/>
    <m/>
    <m/>
    <m/>
    <m/>
    <m/>
    <m/>
    <x v="1"/>
  </r>
  <r>
    <x v="1"/>
    <m/>
    <m/>
    <m/>
    <x v="1"/>
    <m/>
    <m/>
    <m/>
    <m/>
    <m/>
    <m/>
    <m/>
    <m/>
    <m/>
    <m/>
    <m/>
    <m/>
    <x v="1"/>
  </r>
  <r>
    <x v="1"/>
    <m/>
    <m/>
    <m/>
    <x v="1"/>
    <m/>
    <m/>
    <m/>
    <m/>
    <m/>
    <m/>
    <m/>
    <m/>
    <m/>
    <m/>
    <m/>
    <m/>
    <x v="1"/>
  </r>
  <r>
    <x v="1"/>
    <m/>
    <m/>
    <m/>
    <x v="1"/>
    <m/>
    <m/>
    <m/>
    <m/>
    <m/>
    <m/>
    <m/>
    <m/>
    <m/>
    <m/>
    <m/>
    <m/>
    <x v="1"/>
  </r>
  <r>
    <x v="1"/>
    <m/>
    <m/>
    <m/>
    <x v="1"/>
    <m/>
    <m/>
    <m/>
    <m/>
    <m/>
    <m/>
    <m/>
    <m/>
    <m/>
    <m/>
    <m/>
    <m/>
    <x v="1"/>
  </r>
  <r>
    <x v="1"/>
    <m/>
    <m/>
    <m/>
    <x v="1"/>
    <m/>
    <m/>
    <m/>
    <m/>
    <m/>
    <m/>
    <m/>
    <m/>
    <m/>
    <m/>
    <m/>
    <m/>
    <x v="1"/>
  </r>
  <r>
    <x v="1"/>
    <m/>
    <m/>
    <m/>
    <x v="1"/>
    <m/>
    <m/>
    <m/>
    <m/>
    <m/>
    <m/>
    <m/>
    <m/>
    <m/>
    <m/>
    <m/>
    <m/>
    <x v="1"/>
  </r>
  <r>
    <x v="1"/>
    <m/>
    <m/>
    <m/>
    <x v="1"/>
    <m/>
    <m/>
    <m/>
    <m/>
    <m/>
    <m/>
    <m/>
    <m/>
    <m/>
    <m/>
    <m/>
    <m/>
    <x v="1"/>
  </r>
  <r>
    <x v="1"/>
    <m/>
    <m/>
    <m/>
    <x v="1"/>
    <m/>
    <m/>
    <m/>
    <m/>
    <m/>
    <m/>
    <m/>
    <m/>
    <m/>
    <m/>
    <m/>
    <m/>
    <x v="1"/>
  </r>
  <r>
    <x v="1"/>
    <m/>
    <m/>
    <m/>
    <x v="1"/>
    <m/>
    <m/>
    <m/>
    <m/>
    <m/>
    <m/>
    <m/>
    <m/>
    <m/>
    <m/>
    <m/>
    <m/>
    <x v="1"/>
  </r>
  <r>
    <x v="1"/>
    <m/>
    <m/>
    <m/>
    <x v="1"/>
    <m/>
    <m/>
    <m/>
    <m/>
    <m/>
    <m/>
    <m/>
    <m/>
    <m/>
    <m/>
    <m/>
    <m/>
    <x v="1"/>
  </r>
  <r>
    <x v="1"/>
    <m/>
    <m/>
    <m/>
    <x v="1"/>
    <m/>
    <m/>
    <m/>
    <m/>
    <m/>
    <m/>
    <m/>
    <m/>
    <m/>
    <m/>
    <m/>
    <m/>
    <x v="1"/>
  </r>
  <r>
    <x v="1"/>
    <m/>
    <m/>
    <m/>
    <x v="1"/>
    <m/>
    <m/>
    <m/>
    <m/>
    <m/>
    <m/>
    <m/>
    <m/>
    <m/>
    <m/>
    <m/>
    <m/>
    <x v="1"/>
  </r>
  <r>
    <x v="1"/>
    <m/>
    <m/>
    <m/>
    <x v="1"/>
    <m/>
    <m/>
    <m/>
    <m/>
    <m/>
    <m/>
    <m/>
    <m/>
    <m/>
    <m/>
    <m/>
    <m/>
    <x v="1"/>
  </r>
  <r>
    <x v="1"/>
    <m/>
    <m/>
    <m/>
    <x v="1"/>
    <m/>
    <m/>
    <m/>
    <m/>
    <m/>
    <m/>
    <m/>
    <m/>
    <m/>
    <m/>
    <m/>
    <m/>
    <x v="1"/>
  </r>
  <r>
    <x v="1"/>
    <m/>
    <m/>
    <m/>
    <x v="1"/>
    <m/>
    <m/>
    <m/>
    <m/>
    <m/>
    <m/>
    <m/>
    <m/>
    <m/>
    <m/>
    <m/>
    <m/>
    <x v="1"/>
  </r>
  <r>
    <x v="1"/>
    <m/>
    <m/>
    <m/>
    <x v="1"/>
    <m/>
    <m/>
    <m/>
    <m/>
    <m/>
    <m/>
    <m/>
    <m/>
    <m/>
    <m/>
    <m/>
    <m/>
    <x v="1"/>
  </r>
  <r>
    <x v="1"/>
    <m/>
    <m/>
    <m/>
    <x v="1"/>
    <m/>
    <m/>
    <m/>
    <m/>
    <m/>
    <m/>
    <m/>
    <m/>
    <m/>
    <m/>
    <m/>
    <m/>
    <x v="1"/>
  </r>
  <r>
    <x v="1"/>
    <m/>
    <m/>
    <m/>
    <x v="1"/>
    <m/>
    <m/>
    <m/>
    <m/>
    <m/>
    <m/>
    <m/>
    <m/>
    <m/>
    <m/>
    <m/>
    <m/>
    <x v="1"/>
  </r>
  <r>
    <x v="1"/>
    <m/>
    <m/>
    <m/>
    <x v="1"/>
    <m/>
    <m/>
    <m/>
    <m/>
    <m/>
    <m/>
    <m/>
    <m/>
    <m/>
    <m/>
    <m/>
    <m/>
    <x v="1"/>
  </r>
  <r>
    <x v="1"/>
    <m/>
    <m/>
    <m/>
    <x v="1"/>
    <m/>
    <m/>
    <m/>
    <m/>
    <m/>
    <m/>
    <m/>
    <m/>
    <m/>
    <m/>
    <m/>
    <m/>
    <x v="1"/>
  </r>
  <r>
    <x v="1"/>
    <m/>
    <m/>
    <m/>
    <x v="1"/>
    <m/>
    <m/>
    <m/>
    <m/>
    <m/>
    <m/>
    <m/>
    <m/>
    <m/>
    <m/>
    <m/>
    <m/>
    <x v="1"/>
  </r>
  <r>
    <x v="1"/>
    <m/>
    <m/>
    <m/>
    <x v="1"/>
    <m/>
    <m/>
    <m/>
    <m/>
    <m/>
    <m/>
    <m/>
    <m/>
    <m/>
    <m/>
    <m/>
    <m/>
    <x v="1"/>
  </r>
  <r>
    <x v="1"/>
    <m/>
    <m/>
    <m/>
    <x v="1"/>
    <m/>
    <m/>
    <m/>
    <m/>
    <m/>
    <m/>
    <m/>
    <m/>
    <m/>
    <m/>
    <m/>
    <m/>
    <x v="1"/>
  </r>
  <r>
    <x v="1"/>
    <m/>
    <m/>
    <m/>
    <x v="1"/>
    <m/>
    <m/>
    <m/>
    <m/>
    <m/>
    <m/>
    <m/>
    <m/>
    <m/>
    <m/>
    <m/>
    <m/>
    <x v="1"/>
  </r>
  <r>
    <x v="1"/>
    <m/>
    <m/>
    <m/>
    <x v="1"/>
    <m/>
    <m/>
    <m/>
    <m/>
    <m/>
    <m/>
    <m/>
    <m/>
    <m/>
    <m/>
    <m/>
    <m/>
    <x v="1"/>
  </r>
  <r>
    <x v="1"/>
    <m/>
    <m/>
    <m/>
    <x v="1"/>
    <m/>
    <m/>
    <m/>
    <m/>
    <m/>
    <m/>
    <m/>
    <m/>
    <m/>
    <m/>
    <m/>
    <m/>
    <x v="2"/>
  </r>
</pivotCacheRecords>
</file>

<file path=xl/pivotCache/pivotCacheRecords3.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1389">
  <r>
    <x v="0"/>
    <n v="2015"/>
    <n v="0"/>
    <n v="0"/>
    <n v="573005.62800000003"/>
    <n v="0"/>
    <n v="230392.46799999999"/>
    <n v="0"/>
    <n v="0"/>
    <n v="310540.31099999999"/>
    <n v="0"/>
    <n v="144264.114"/>
    <n v="6334.5820000000003"/>
    <n v="883545.93900000001"/>
    <n v="374656.58199999999"/>
    <n v="6334.5820000000003"/>
  </r>
  <r>
    <x v="1"/>
    <n v="2015"/>
    <n v="0"/>
    <n v="0"/>
    <n v="2000818.0079999999"/>
    <n v="363825.64"/>
    <n v="101809.368"/>
    <n v="0"/>
    <n v="0"/>
    <n v="688071.01199999999"/>
    <n v="186742.60500000001"/>
    <n v="145580.86199999999"/>
    <n v="11320.154"/>
    <n v="2688889.02"/>
    <n v="797958.47499999998"/>
    <n v="11320.154"/>
  </r>
  <r>
    <x v="2"/>
    <n v="2015"/>
    <n v="0"/>
    <n v="0"/>
    <n v="0"/>
    <n v="112340.1"/>
    <n v="7845.808"/>
    <n v="0"/>
    <n v="0"/>
    <n v="0"/>
    <n v="71202.981"/>
    <n v="2508.1710000000003"/>
    <n v="1937.04"/>
    <n v="0"/>
    <n v="193897.06000000003"/>
    <n v="1937.04"/>
  </r>
  <r>
    <x v="3"/>
    <n v="2015"/>
    <n v="0"/>
    <n v="0"/>
    <n v="0"/>
    <n v="0"/>
    <n v="0"/>
    <n v="0"/>
    <n v="0"/>
    <n v="0"/>
    <n v="0"/>
    <n v="0"/>
    <n v="84.168999999999997"/>
    <n v="0"/>
    <n v="0"/>
    <n v="84.168999999999997"/>
  </r>
  <r>
    <x v="4"/>
    <n v="2015"/>
    <n v="0"/>
    <n v="0"/>
    <n v="303120.71999999997"/>
    <n v="149260"/>
    <n v="162956.79999999999"/>
    <n v="0"/>
    <n v="0"/>
    <n v="35435.226000000002"/>
    <n v="47260.893000000004"/>
    <n v="94952.90400000001"/>
    <n v="27991.381000000001"/>
    <n v="338555.946"/>
    <n v="454430.59699999995"/>
    <n v="27991.381000000001"/>
  </r>
  <r>
    <x v="5"/>
    <n v="2015"/>
    <n v="0"/>
    <n v="0"/>
    <n v="0"/>
    <n v="0"/>
    <n v="31530.736000000001"/>
    <n v="0"/>
    <n v="0"/>
    <n v="0"/>
    <n v="0"/>
    <n v="12671.193000000001"/>
    <n v="7901.509"/>
    <n v="0"/>
    <n v="44201.929000000004"/>
    <n v="7901.509"/>
  </r>
  <r>
    <x v="6"/>
    <n v="2015"/>
    <n v="0"/>
    <n v="0"/>
    <n v="0"/>
    <n v="0"/>
    <n v="10574.632"/>
    <n v="0"/>
    <n v="0"/>
    <n v="0"/>
    <n v="0"/>
    <n v="4590.2370000000001"/>
    <n v="18305.028000000002"/>
    <n v="0"/>
    <n v="15164.868999999999"/>
    <n v="18305.028000000002"/>
  </r>
  <r>
    <x v="0"/>
    <n v="2016"/>
    <n v="0"/>
    <n v="0"/>
    <n v="0"/>
    <n v="229165.93600000002"/>
    <n v="307804.11200000002"/>
    <n v="0"/>
    <n v="0"/>
    <n v="0"/>
    <n v="47659.962599999999"/>
    <n v="222608.56590000002"/>
    <n v="11983.129000000001"/>
    <n v="0"/>
    <n v="807238.57650000008"/>
    <n v="11983.129000000001"/>
  </r>
  <r>
    <x v="1"/>
    <n v="2016"/>
    <n v="0"/>
    <n v="0"/>
    <n v="295183.96799999999"/>
    <n v="346473.2672"/>
    <n v="212210.4448"/>
    <n v="0"/>
    <n v="0"/>
    <n v="106131.6918"/>
    <n v="113675.65920000001"/>
    <n v="183143.7378"/>
    <n v="8980.7170000000006"/>
    <n v="401315.65980000002"/>
    <n v="855503.10900000005"/>
    <n v="8980.7170000000006"/>
  </r>
  <r>
    <x v="2"/>
    <n v="2016"/>
    <n v="0"/>
    <n v="0"/>
    <n v="0"/>
    <n v="0"/>
    <n v="16408.9568"/>
    <n v="0"/>
    <n v="0"/>
    <n v="0"/>
    <n v="0"/>
    <n v="57622.306499999999"/>
    <n v="13512.007"/>
    <n v="0"/>
    <n v="74031.263299999991"/>
    <n v="13512.007"/>
  </r>
  <r>
    <x v="3"/>
    <n v="2016"/>
    <n v="0"/>
    <n v="0"/>
    <n v="0"/>
    <n v="0"/>
    <n v="0"/>
    <n v="0"/>
    <n v="0"/>
    <n v="0"/>
    <n v="0"/>
    <n v="0"/>
    <n v="1352.4690000000001"/>
    <n v="0"/>
    <n v="0"/>
    <n v="1352.4690000000001"/>
  </r>
  <r>
    <x v="4"/>
    <n v="2016"/>
    <n v="0"/>
    <n v="0"/>
    <n v="553788.90560000006"/>
    <n v="137501.408"/>
    <n v="861013.24800000002"/>
    <n v="0"/>
    <n v="0"/>
    <n v="70025.245200000005"/>
    <n v="33313.777200000004"/>
    <n v="238363.0497"/>
    <n v="15057.027"/>
    <n v="623814.15080000006"/>
    <n v="1270191.4828999999"/>
    <n v="15057.027"/>
  </r>
  <r>
    <x v="5"/>
    <n v="2016"/>
    <n v="0"/>
    <n v="0"/>
    <n v="0"/>
    <n v="100361.072"/>
    <n v="12778.9344"/>
    <n v="0"/>
    <n v="0"/>
    <n v="0"/>
    <n v="19996.47"/>
    <n v="38719.660499999998"/>
    <n v="40464.535000000003"/>
    <n v="0"/>
    <n v="171856.13689999998"/>
    <n v="40464.535000000003"/>
  </r>
  <r>
    <x v="6"/>
    <n v="2016"/>
    <n v="0"/>
    <n v="0"/>
    <n v="0"/>
    <n v="0"/>
    <n v="90962.896000000008"/>
    <n v="0"/>
    <n v="0"/>
    <n v="0"/>
    <n v="0"/>
    <n v="34399.055700000004"/>
    <n v="2956.2919999999999"/>
    <n v="0"/>
    <n v="125361.95170000001"/>
    <n v="2956.2919999999999"/>
  </r>
  <r>
    <x v="0"/>
    <n v="2017"/>
    <n v="0"/>
    <n v="0"/>
    <n v="1204470.3663999999"/>
    <n v="0"/>
    <n v="69157.517999999996"/>
    <n v="0"/>
    <n v="0"/>
    <n v="730277.1372"/>
    <n v="0"/>
    <n v="32556.758600000001"/>
    <n v="5547.0830000000005"/>
    <n v="1934747.5035999999"/>
    <n v="101714.2766"/>
    <n v="5547.0830000000005"/>
  </r>
  <r>
    <x v="7"/>
    <n v="2017"/>
    <n v="0"/>
    <n v="0"/>
    <n v="0"/>
    <n v="0"/>
    <n v="5875.0464000000002"/>
    <n v="0"/>
    <n v="0"/>
    <n v="0"/>
    <n v="0"/>
    <n v="24398.190999999999"/>
    <n v="0"/>
    <n v="0"/>
    <n v="30273.237399999998"/>
    <n v="0"/>
  </r>
  <r>
    <x v="1"/>
    <n v="2017"/>
    <n v="0"/>
    <n v="0"/>
    <n v="0"/>
    <n v="109746.0264"/>
    <n v="228653.8524"/>
    <n v="0"/>
    <n v="0"/>
    <n v="0"/>
    <n v="134459.5392"/>
    <n v="56466.445"/>
    <n v="13265.264999999999"/>
    <n v="0"/>
    <n v="529325.86300000001"/>
    <n v="13265.264999999999"/>
  </r>
  <r>
    <x v="3"/>
    <n v="2017"/>
    <n v="0"/>
    <n v="0"/>
    <n v="0"/>
    <n v="70364.856"/>
    <n v="0"/>
    <n v="0"/>
    <n v="0"/>
    <n v="0"/>
    <n v="70099.508799999996"/>
    <n v="0"/>
    <n v="4146.1880000000001"/>
    <n v="0"/>
    <n v="140464.36479999998"/>
    <n v="4146.1880000000001"/>
  </r>
  <r>
    <x v="4"/>
    <n v="2017"/>
    <n v="0"/>
    <n v="0"/>
    <n v="331600.86960000003"/>
    <n v="233038.1856"/>
    <n v="368004.60480000003"/>
    <n v="0"/>
    <n v="0"/>
    <n v="57822.000200000002"/>
    <n v="27039"/>
    <n v="127005.7882"/>
    <n v="12167.609"/>
    <n v="389422.86980000004"/>
    <n v="755087.57860000001"/>
    <n v="12167.609"/>
  </r>
  <r>
    <x v="5"/>
    <n v="2017"/>
    <n v="0"/>
    <n v="0"/>
    <n v="783322.89"/>
    <n v="58748.468399999998"/>
    <n v="65072.524799999999"/>
    <n v="0"/>
    <n v="0"/>
    <n v="240488.4712"/>
    <n v="13910.664199999999"/>
    <n v="50571.942999999999"/>
    <n v="11135.674000000001"/>
    <n v="1023811.3612"/>
    <n v="188303.6004"/>
    <n v="11135.674000000001"/>
  </r>
  <r>
    <x v="6"/>
    <n v="2017"/>
    <n v="0"/>
    <n v="0"/>
    <n v="652928.39040000003"/>
    <n v="0"/>
    <n v="39912"/>
    <n v="0"/>
    <n v="0"/>
    <n v="545852.51639999996"/>
    <n v="0"/>
    <n v="0"/>
    <n v="3053.1440000000002"/>
    <n v="1198780.9068"/>
    <n v="39912"/>
    <n v="3053.1440000000002"/>
  </r>
  <r>
    <x v="8"/>
    <n v="2018"/>
    <n v="0"/>
    <n v="0"/>
    <n v="0"/>
    <n v="0"/>
    <n v="38003.283800000005"/>
    <n v="0"/>
    <n v="0"/>
    <n v="0"/>
    <n v="0"/>
    <n v="126913.89760000001"/>
    <n v="0"/>
    <n v="0"/>
    <n v="164917.1814"/>
    <n v="0"/>
  </r>
  <r>
    <x v="1"/>
    <n v="2018"/>
    <n v="0"/>
    <n v="0"/>
    <n v="0"/>
    <n v="0"/>
    <n v="28457.500000000004"/>
    <n v="0"/>
    <n v="0"/>
    <n v="0"/>
    <n v="0"/>
    <n v="5128"/>
    <n v="421.99799999999999"/>
    <n v="0"/>
    <n v="33585.5"/>
    <n v="421.99799999999999"/>
  </r>
  <r>
    <x v="2"/>
    <n v="2018"/>
    <n v="0"/>
    <n v="0"/>
    <n v="0"/>
    <n v="80974.108800000002"/>
    <n v="14253.792600000001"/>
    <n v="0"/>
    <n v="0"/>
    <n v="0"/>
    <n v="0"/>
    <n v="57669.488000000005"/>
    <n v="10869.331"/>
    <n v="0"/>
    <n v="152897.38940000001"/>
    <n v="10869.331"/>
  </r>
  <r>
    <x v="3"/>
    <n v="2018"/>
    <n v="0"/>
    <n v="0"/>
    <n v="0"/>
    <n v="0"/>
    <n v="3223.6656000000003"/>
    <n v="0"/>
    <n v="0"/>
    <n v="0"/>
    <n v="0"/>
    <n v="1323.0240000000001"/>
    <n v="539.60400000000004"/>
    <n v="0"/>
    <n v="4546.6896000000006"/>
    <n v="539.60400000000004"/>
  </r>
  <r>
    <x v="4"/>
    <n v="2018"/>
    <n v="0"/>
    <n v="0"/>
    <n v="0"/>
    <n v="0"/>
    <n v="310510.02720000001"/>
    <n v="0"/>
    <n v="0"/>
    <n v="0"/>
    <n v="0"/>
    <n v="134166.94080000001"/>
    <n v="5315.33"/>
    <n v="0"/>
    <n v="444676.96799999999"/>
    <n v="5315.33"/>
  </r>
  <r>
    <x v="5"/>
    <n v="2018"/>
    <n v="0"/>
    <n v="0"/>
    <n v="0"/>
    <n v="533263.95420000004"/>
    <n v="303033.6728"/>
    <n v="0"/>
    <n v="0"/>
    <n v="0"/>
    <n v="176011.42080000002"/>
    <n v="79252.214400000012"/>
    <n v="11126.45"/>
    <n v="0"/>
    <n v="1091561.2622"/>
    <n v="11126.45"/>
  </r>
  <r>
    <x v="6"/>
    <n v="2018"/>
    <n v="0"/>
    <n v="0"/>
    <n v="0"/>
    <n v="0"/>
    <n v="100140.80420000001"/>
    <n v="0"/>
    <n v="0"/>
    <n v="0"/>
    <n v="0"/>
    <n v="88470.30720000001"/>
    <n v="752.90899999999999"/>
    <n v="0"/>
    <n v="188611.11140000002"/>
    <n v="752.90899999999999"/>
  </r>
  <r>
    <x v="9"/>
    <n v="2019"/>
    <n v="0"/>
    <n v="0"/>
    <n v="0"/>
    <n v="0"/>
    <n v="4066.1558000000005"/>
    <n v="0"/>
    <n v="0"/>
    <n v="0"/>
    <n v="0"/>
    <n v="56122.249600000003"/>
    <n v="0"/>
    <n v="0"/>
    <n v="60188.405400000003"/>
    <n v="0"/>
  </r>
  <r>
    <x v="8"/>
    <n v="2019"/>
    <n v="0"/>
    <n v="0"/>
    <n v="0"/>
    <n v="392952.21140000003"/>
    <n v="0"/>
    <n v="0"/>
    <n v="0"/>
    <n v="0"/>
    <n v="131563.0656"/>
    <n v="0"/>
    <n v="0"/>
    <n v="0"/>
    <n v="524515.277"/>
    <n v="0"/>
  </r>
  <r>
    <x v="1"/>
    <n v="2019"/>
    <n v="0"/>
    <n v="0"/>
    <n v="0"/>
    <n v="198937.2"/>
    <n v="187847.95820000002"/>
    <n v="0"/>
    <n v="0"/>
    <n v="0"/>
    <n v="9620.8000000000011"/>
    <n v="163281.4688"/>
    <n v="775.96900000000005"/>
    <n v="0"/>
    <n v="559687.42700000003"/>
    <n v="775.96900000000005"/>
  </r>
  <r>
    <x v="2"/>
    <n v="2019"/>
    <n v="0"/>
    <n v="0"/>
    <n v="0"/>
    <n v="0"/>
    <n v="81675.777400000006"/>
    <n v="0"/>
    <n v="0"/>
    <n v="0"/>
    <n v="0"/>
    <n v="132973.20000000001"/>
    <n v="2071.9410000000003"/>
    <n v="0"/>
    <n v="214648.97740000003"/>
    <n v="2071.9410000000003"/>
  </r>
  <r>
    <x v="3"/>
    <n v="2019"/>
    <n v="0"/>
    <n v="0"/>
    <n v="0"/>
    <n v="0"/>
    <n v="0"/>
    <n v="0"/>
    <n v="0"/>
    <n v="0"/>
    <n v="0"/>
    <n v="0"/>
    <n v="613.39599999999996"/>
    <n v="0"/>
    <n v="0"/>
    <n v="613.39599999999996"/>
  </r>
  <r>
    <x v="4"/>
    <n v="2019"/>
    <n v="0"/>
    <n v="0"/>
    <n v="0"/>
    <n v="326347.43400000001"/>
    <n v="251459.63500000001"/>
    <n v="0"/>
    <n v="0"/>
    <n v="0"/>
    <n v="53766.528000000006"/>
    <n v="78043.929600000003"/>
    <n v="4508.2300000000005"/>
    <n v="0"/>
    <n v="709617.5266000001"/>
    <n v="4508.2300000000005"/>
  </r>
  <r>
    <x v="5"/>
    <n v="2019"/>
    <n v="0"/>
    <n v="0"/>
    <n v="698366.02640000009"/>
    <n v="328589.9988"/>
    <n v="246838.86640000003"/>
    <n v="0"/>
    <n v="0"/>
    <n v="262548.88320000004"/>
    <n v="116260.496"/>
    <n v="106788.1312"/>
    <n v="16650.473000000002"/>
    <n v="960914.90960000013"/>
    <n v="798477.4924000001"/>
    <n v="16650.473000000002"/>
  </r>
  <r>
    <x v="6"/>
    <n v="2019"/>
    <n v="0"/>
    <n v="0"/>
    <n v="0"/>
    <n v="0"/>
    <n v="0"/>
    <n v="0"/>
    <n v="0"/>
    <n v="0"/>
    <n v="0"/>
    <n v="0"/>
    <n v="94.546000000000006"/>
    <n v="0"/>
    <n v="0"/>
    <n v="94.546000000000006"/>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pivotCacheRecords>
</file>

<file path=xl/pivotCache/pivotCacheRecords4.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11">
  <r>
    <x v="0"/>
    <n v="1"/>
    <n v="0"/>
    <n v="0"/>
    <n v="33.814"/>
    <n v="60188.92"/>
    <n v="0"/>
    <n v="0"/>
    <n v="6.0848053973792817"/>
    <n v="10830.953607335121"/>
    <n v="1.2148664820929373"/>
    <n v="2162.4623381254282"/>
    <n v="7.0169012327781735E-2"/>
    <n v="124.9008419434515"/>
  </r>
  <r>
    <x v="0"/>
    <n v="1"/>
    <n v="0"/>
    <n v="0"/>
    <n v="336.30900000000003"/>
    <n v="689433.45"/>
    <n v="0"/>
    <n v="0"/>
    <n v="5.7218740445542045"/>
    <n v="11729.841791336119"/>
    <n v="1.18089942245802"/>
    <n v="2420.843816038941"/>
    <n v="6.434387878777674E-2"/>
    <n v="131.9049515149423"/>
  </r>
  <r>
    <x v="0"/>
    <n v="1"/>
    <n v="5.0659999999999998"/>
    <n v="2818063.82"/>
    <n v="2.3079999999999998"/>
    <n v="1283871.1599999999"/>
    <n v="4.2999999999999997E-2"/>
    <n v="23919.609999999997"/>
    <n v="7.3084260267561234"/>
    <n v="4065458.1459036288"/>
    <n v="1.7469943377712358"/>
    <n v="971800.54027200537"/>
    <n v="9.9828247872642051E-2"/>
    <n v="55531.459444114589"/>
  </r>
  <r>
    <x v="0"/>
    <n v="1"/>
    <n v="0"/>
    <n v="0"/>
    <n v="4.407"/>
    <n v="30276.09"/>
    <n v="0"/>
    <n v="0"/>
    <n v="16.24985627212763"/>
    <n v="111636.51258951682"/>
    <n v="2.8749396455745218"/>
    <n v="19750.835365096966"/>
    <n v="0.19251017209785176"/>
    <n v="1322.5448823122417"/>
  </r>
  <r>
    <x v="0"/>
    <n v="1"/>
    <n v="7.1820000000000004"/>
    <n v="3090055.5"/>
    <n v="6.452"/>
    <n v="2775973"/>
    <n v="8.1000000000000003E-2"/>
    <n v="34850.25"/>
    <n v="26.24106935860797"/>
    <n v="11290220.091541078"/>
    <n v="4.9443142769340902"/>
    <n v="2127291.2176508922"/>
    <n v="0.24047707065793808"/>
    <n v="103465.25965057786"/>
  </r>
  <r>
    <x v="0"/>
    <n v="1"/>
    <n v="0"/>
    <n v="0"/>
    <n v="1.101"/>
    <n v="635530.23"/>
    <n v="4.9000000000000002E-2"/>
    <n v="28284.27"/>
    <n v="5.7145388499764094"/>
    <n v="3298603.2603718829"/>
    <n v="1.0814051733657195"/>
    <n v="624219.50822189427"/>
    <n v="0.10405273145786993"/>
    <n v="60062.358179426265"/>
  </r>
  <r>
    <x v="0"/>
    <n v="1"/>
    <n v="0"/>
    <n v="0"/>
    <n v="1.6539999999999999"/>
    <n v="145022.72"/>
    <n v="7.6999999999999999E-2"/>
    <n v="6751.36"/>
    <n v="14.455663266176598"/>
    <n v="1267472.555178364"/>
    <n v="2.9395945150892864"/>
    <n v="257743.64708302863"/>
    <n v="0.13664058793411618"/>
    <n v="11980.646750063306"/>
  </r>
  <r>
    <x v="0"/>
    <n v="1"/>
    <n v="3.097"/>
    <n v="1351902.44"/>
    <n v="8.3249999999999993"/>
    <n v="3634028.9999999995"/>
    <n v="0.14899999999999999"/>
    <n v="65041.48"/>
    <n v="12.409111519016719"/>
    <n v="5416825.3602811778"/>
    <n v="3.6007328873385203"/>
    <n v="1571791.9199810107"/>
    <n v="0.13936978824476076"/>
    <n v="60837.699964602973"/>
  </r>
  <r>
    <x v="0"/>
    <n v="1"/>
    <n v="1.82"/>
    <n v="1984509.8"/>
    <n v="2.1040000000000001"/>
    <n v="2294180.56"/>
    <n v="0.08"/>
    <n v="87231.200000000012"/>
    <n v="6.6258949924837207"/>
    <n v="7224809.6408543251"/>
    <n v="1.4696287541046511"/>
    <n v="1602468.4971881704"/>
    <n v="7.9764237211627911E-2"/>
    <n v="86974.126613186963"/>
  </r>
  <r>
    <x v="0"/>
    <n v="1"/>
    <n v="5.101"/>
    <n v="1198683.99"/>
    <n v="1.57"/>
    <n v="368934.3"/>
    <n v="0.107"/>
    <n v="25143.93"/>
    <n v="3.3263551834526317"/>
    <n v="781660.20455953386"/>
    <n v="0.92848326503543377"/>
    <n v="218184.28245067658"/>
    <n v="5.4303493711934769E-2"/>
    <n v="12760.77798736755"/>
  </r>
  <r>
    <x v="0"/>
    <n v="1"/>
    <n v="0"/>
    <n v="0"/>
    <n v="0"/>
    <n v="0"/>
    <n v="0"/>
    <n v="0"/>
    <n v="1.9204069564067585"/>
    <n v="21681.394537832304"/>
    <n v="0.36135589318314809"/>
    <n v="4079.708034037742"/>
    <n v="2.0473421710093375E-2"/>
    <n v="231.1449311069542"/>
  </r>
</pivotCacheRecords>
</file>

<file path=xl/pivotCache/pivotCacheRecords5.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11">
  <r>
    <n v="0"/>
    <x v="0"/>
  </r>
  <r>
    <n v="0"/>
    <x v="0"/>
  </r>
  <r>
    <n v="0"/>
    <x v="0"/>
  </r>
  <r>
    <n v="0"/>
    <x v="0"/>
  </r>
  <r>
    <n v="0"/>
    <x v="0"/>
  </r>
  <r>
    <n v="0"/>
    <x v="0"/>
  </r>
  <r>
    <n v="0"/>
    <x v="0"/>
  </r>
  <r>
    <n v="0"/>
    <x v="0"/>
  </r>
  <r>
    <n v="0"/>
    <x v="0"/>
  </r>
  <r>
    <n v="0"/>
    <x v="0"/>
  </r>
  <r>
    <n v="0"/>
    <x v="0"/>
  </r>
</pivotCacheRecords>
</file>

<file path=xl/pivotCache/pivotCacheRecords6.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11">
  <r>
    <s v="6824F"/>
    <x v="0"/>
    <n v="92"/>
    <n v="7.3698408918000009"/>
    <x v="0"/>
    <n v="7.3698408918000009"/>
    <x v="0"/>
  </r>
  <r>
    <s v="6826F"/>
    <x v="0"/>
    <n v="75"/>
    <n v="6.9671173458000011"/>
    <x v="1"/>
    <n v="6.9671173458000011"/>
    <x v="1"/>
  </r>
  <r>
    <s v="6843F"/>
    <x v="0"/>
    <n v="219"/>
    <n v="9.1552486124000012"/>
    <x v="2"/>
    <n v="9.2295066199001958"/>
    <x v="2"/>
  </r>
  <r>
    <s v="6872F"/>
    <x v="0"/>
    <n v="215"/>
    <n v="19.317306089800002"/>
    <x v="3"/>
    <n v="19.317306089800002"/>
    <x v="3"/>
  </r>
  <r>
    <s v="7309F"/>
    <x v="0"/>
    <n v="16712"/>
    <n v="31.425860706199998"/>
    <x v="4"/>
    <n v="31.348982340420068"/>
    <x v="4"/>
  </r>
  <r>
    <s v="7313F"/>
    <x v="0"/>
    <n v="21125"/>
    <n v="6.8999967547999983"/>
    <x v="5"/>
    <n v="6.8206801967305637"/>
    <x v="5"/>
  </r>
  <r>
    <s v="7317F"/>
    <x v="0"/>
    <n v="3842"/>
    <n v="17.5318983692"/>
    <x v="6"/>
    <n v="17.512270563964584"/>
    <x v="6"/>
  </r>
  <r>
    <s v="7327F"/>
    <x v="0"/>
    <n v="19508"/>
    <n v="16.149214194599999"/>
    <x v="7"/>
    <n v="16.149214194599999"/>
    <x v="7"/>
  </r>
  <r>
    <s v="7366F"/>
    <x v="0"/>
    <n v="49752"/>
    <n v="8.1752879837999988"/>
    <x v="8"/>
    <n v="8.1521588990354239"/>
    <x v="8"/>
  </r>
  <r>
    <s v="8709F"/>
    <x v="0"/>
    <n v="10962"/>
    <n v="4.3091419422000001"/>
    <x v="9"/>
    <n v="4.4445064570292949"/>
    <x v="9"/>
  </r>
  <r>
    <s v="8726F"/>
    <x v="0"/>
    <n v="128"/>
    <n v="2.3022362713"/>
    <x v="10"/>
    <n v="2.302031537082899"/>
    <x v="10"/>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3.xml.rels><?xml version="1.0" encoding="UTF-8" standalone="yes"?>
<Relationships xmlns="http://schemas.openxmlformats.org/package/2006/relationships"><Relationship Id="rId1" Type="http://schemas.openxmlformats.org/officeDocument/2006/relationships/pivotCacheDefinition" Target="../pivotCache/pivotCacheDefinition3.xml"/></Relationships>
</file>

<file path=xl/pivotTables/_rels/pivotTable4.xml.rels><?xml version="1.0" encoding="UTF-8" standalone="yes"?>
<Relationships xmlns="http://schemas.openxmlformats.org/package/2006/relationships"><Relationship Id="rId1" Type="http://schemas.openxmlformats.org/officeDocument/2006/relationships/pivotCacheDefinition" Target="../pivotCache/pivotCacheDefinition4.xml"/></Relationships>
</file>

<file path=xl/pivotTables/_rels/pivotTable5.xml.rels><?xml version="1.0" encoding="UTF-8" standalone="yes"?>
<Relationships xmlns="http://schemas.openxmlformats.org/package/2006/relationships"><Relationship Id="rId1" Type="http://schemas.openxmlformats.org/officeDocument/2006/relationships/pivotCacheDefinition" Target="../pivotCache/pivotCacheDefinition5.xml"/></Relationships>
</file>

<file path=xl/pivotTables/_rels/pivotTable6.xml.rels><?xml version="1.0" encoding="UTF-8" standalone="yes"?>
<Relationships xmlns="http://schemas.openxmlformats.org/package/2006/relationships"><Relationship Id="rId1" Type="http://schemas.openxmlformats.org/officeDocument/2006/relationships/pivotCacheDefinition" Target="../pivotCache/pivotCacheDefinition6.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ADA46DE8-AEE1-49DC-99F0-4E4913EC667E}" name="PivotTable2" cacheId="8" applyNumberFormats="0" applyBorderFormats="0" applyFontFormats="0" applyPatternFormats="0" applyAlignmentFormats="0" applyWidthHeightFormats="1" dataCaption="Values" updatedVersion="8" minRefreshableVersion="3" useAutoFormatting="1" itemPrintTitles="1" createdVersion="7" indent="0" outline="1" outlineData="1" multipleFieldFilters="0">
  <location ref="K4:Q17" firstHeaderRow="1" firstDataRow="2" firstDataCol="1" rowPageCount="1" colPageCount="1"/>
  <pivotFields count="7">
    <pivotField showAll="0" sortType="ascending"/>
    <pivotField showAll="0"/>
    <pivotField axis="axisPage" multipleItemSelectionAllowed="1" showAll="0">
      <items count="3">
        <item x="0"/>
        <item h="1" x="1"/>
        <item t="default"/>
      </items>
    </pivotField>
    <pivotField axis="axisCol" numFmtId="164" showAll="0">
      <items count="9">
        <item m="1" x="7"/>
        <item m="1" x="6"/>
        <item x="0"/>
        <item x="1"/>
        <item x="2"/>
        <item x="5"/>
        <item x="3"/>
        <item x="4"/>
        <item t="default"/>
      </items>
    </pivotField>
    <pivotField showAll="0"/>
    <pivotField dataField="1" numFmtId="164" showAll="0"/>
    <pivotField axis="axisRow" numFmtId="164" showAll="0">
      <items count="14">
        <item x="0"/>
        <item x="1"/>
        <item x="2"/>
        <item x="3"/>
        <item x="4"/>
        <item x="5"/>
        <item x="6"/>
        <item x="7"/>
        <item x="8"/>
        <item x="9"/>
        <item x="10"/>
        <item h="1" x="11"/>
        <item h="1" x="12"/>
        <item t="default"/>
      </items>
    </pivotField>
  </pivotFields>
  <rowFields count="1">
    <field x="6"/>
  </rowFields>
  <rowItems count="12">
    <i>
      <x/>
    </i>
    <i>
      <x v="1"/>
    </i>
    <i>
      <x v="2"/>
    </i>
    <i>
      <x v="3"/>
    </i>
    <i>
      <x v="4"/>
    </i>
    <i>
      <x v="5"/>
    </i>
    <i>
      <x v="6"/>
    </i>
    <i>
      <x v="7"/>
    </i>
    <i>
      <x v="8"/>
    </i>
    <i>
      <x v="9"/>
    </i>
    <i>
      <x v="10"/>
    </i>
    <i t="grand">
      <x/>
    </i>
  </rowItems>
  <colFields count="1">
    <field x="3"/>
  </colFields>
  <colItems count="6">
    <i>
      <x v="2"/>
    </i>
    <i>
      <x v="3"/>
    </i>
    <i>
      <x v="4"/>
    </i>
    <i>
      <x v="6"/>
    </i>
    <i>
      <x v="7"/>
    </i>
    <i t="grand">
      <x/>
    </i>
  </colItems>
  <pageFields count="1">
    <pageField fld="2" hier="-1"/>
  </pageFields>
  <dataFields count="1">
    <dataField name="Sum of Payroll2" fld="5" baseField="0" baseItem="0" numFmtId="164"/>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xml><?xml version="1.0" encoding="utf-8"?>
<pivotTableDefinition xmlns="http://schemas.openxmlformats.org/spreadsheetml/2006/main" xmlns:mc="http://schemas.openxmlformats.org/markup-compatibility/2006" xmlns:xr="http://schemas.microsoft.com/office/spreadsheetml/2014/revision" mc:Ignorable="xr" xr:uid="{E51B35EF-F165-432A-A395-EF66CA941A62}" name="PivotTable5" cacheId="9" applyNumberFormats="0" applyBorderFormats="0" applyFontFormats="0" applyPatternFormats="0" applyAlignmentFormats="0" applyWidthHeightFormats="1" dataCaption="Values" updatedVersion="8" minRefreshableVersion="3" useAutoFormatting="1" rowGrandTotals="0" colGrandTotals="0" itemPrintTitles="1" createdVersion="7" indent="0" compact="0" compactData="0" multipleFieldFilters="0">
  <location ref="T3:AE4" firstHeaderRow="0" firstDataRow="1" firstDataCol="2" rowPageCount="1" colPageCount="1"/>
  <pivotFields count="18">
    <pivotField axis="axisRow" compact="0" numFmtId="164" outline="0" showAll="0" defaultSubtotal="0">
      <items count="13">
        <item m="1" x="4"/>
        <item m="1" x="5"/>
        <item m="1" x="6"/>
        <item m="1" x="7"/>
        <item m="1" x="9"/>
        <item x="1"/>
        <item m="1" x="11"/>
        <item m="1" x="3"/>
        <item m="1" x="10"/>
        <item x="0"/>
        <item m="1" x="8"/>
        <item m="1" x="12"/>
        <item m="1" x="2"/>
      </items>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numFmtId="164"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axis="axisPage" compact="0" numFmtId="164" outline="0" multipleItemSelectionAllowed="1" showAll="0" defaultSubtotal="0">
      <items count="4">
        <item m="1" x="3"/>
        <item h="1" m="1" x="2"/>
        <item x="0"/>
        <item h="1" x="1"/>
      </items>
      <extLst>
        <ext xmlns:x14="http://schemas.microsoft.com/office/spreadsheetml/2009/9/main" uri="{2946ED86-A175-432a-8AC1-64E0C546D7DE}">
          <x14:pivotField fillDownLabels="1"/>
        </ext>
      </extLst>
    </pivotField>
    <pivotField dataField="1" compact="0" numFmtId="164" outline="0" showAll="0" defaultSubtotal="0">
      <extLst>
        <ext xmlns:x14="http://schemas.microsoft.com/office/spreadsheetml/2009/9/main" uri="{2946ED86-A175-432a-8AC1-64E0C546D7DE}">
          <x14:pivotField fillDownLabels="1"/>
        </ext>
      </extLst>
    </pivotField>
    <pivotField dataField="1" compact="0" numFmtId="164" outline="0" showAll="0" defaultSubtotal="0">
      <extLst>
        <ext xmlns:x14="http://schemas.microsoft.com/office/spreadsheetml/2009/9/main" uri="{2946ED86-A175-432a-8AC1-64E0C546D7DE}">
          <x14:pivotField fillDownLabels="1"/>
        </ext>
      </extLst>
    </pivotField>
    <pivotField dataField="1" compact="0" numFmtId="164" outline="0" showAll="0" defaultSubtotal="0">
      <extLst>
        <ext xmlns:x14="http://schemas.microsoft.com/office/spreadsheetml/2009/9/main" uri="{2946ED86-A175-432a-8AC1-64E0C546D7DE}">
          <x14:pivotField fillDownLabels="1"/>
        </ext>
      </extLst>
    </pivotField>
    <pivotField dataField="1" compact="0" numFmtId="164" outline="0" showAll="0" defaultSubtotal="0">
      <extLst>
        <ext xmlns:x14="http://schemas.microsoft.com/office/spreadsheetml/2009/9/main" uri="{2946ED86-A175-432a-8AC1-64E0C546D7DE}">
          <x14:pivotField fillDownLabels="1"/>
        </ext>
      </extLst>
    </pivotField>
    <pivotField dataField="1" compact="0" numFmtId="164" outline="0" showAll="0" defaultSubtotal="0">
      <extLst>
        <ext xmlns:x14="http://schemas.microsoft.com/office/spreadsheetml/2009/9/main" uri="{2946ED86-A175-432a-8AC1-64E0C546D7DE}">
          <x14:pivotField fillDownLabels="1"/>
        </ext>
      </extLst>
    </pivotField>
    <pivotField dataField="1" compact="0" numFmtId="164" outline="0" showAll="0" defaultSubtotal="0">
      <extLst>
        <ext xmlns:x14="http://schemas.microsoft.com/office/spreadsheetml/2009/9/main" uri="{2946ED86-A175-432a-8AC1-64E0C546D7DE}">
          <x14:pivotField fillDownLabels="1"/>
        </ext>
      </extLst>
    </pivotField>
    <pivotField dataField="1" compact="0" numFmtId="164" outline="0" showAll="0" defaultSubtotal="0">
      <extLst>
        <ext xmlns:x14="http://schemas.microsoft.com/office/spreadsheetml/2009/9/main" uri="{2946ED86-A175-432a-8AC1-64E0C546D7DE}">
          <x14:pivotField fillDownLabels="1"/>
        </ext>
      </extLst>
    </pivotField>
    <pivotField dataField="1" compact="0" numFmtId="164" outline="0" showAll="0" defaultSubtotal="0">
      <extLst>
        <ext xmlns:x14="http://schemas.microsoft.com/office/spreadsheetml/2009/9/main" uri="{2946ED86-A175-432a-8AC1-64E0C546D7DE}">
          <x14:pivotField fillDownLabels="1"/>
        </ext>
      </extLst>
    </pivotField>
    <pivotField dataField="1" compact="0" numFmtId="164" outline="0" showAll="0" defaultSubtotal="0">
      <extLst>
        <ext xmlns:x14="http://schemas.microsoft.com/office/spreadsheetml/2009/9/main" uri="{2946ED86-A175-432a-8AC1-64E0C546D7DE}">
          <x14:pivotField fillDownLabels="1"/>
        </ext>
      </extLst>
    </pivotField>
    <pivotField dataField="1" compact="0" numFmtId="164" outline="0" showAll="0" defaultSubtotal="0">
      <extLst>
        <ext xmlns:x14="http://schemas.microsoft.com/office/spreadsheetml/2009/9/main" uri="{2946ED86-A175-432a-8AC1-64E0C546D7DE}">
          <x14:pivotField fillDownLabels="1"/>
        </ext>
      </extLst>
    </pivotField>
    <pivotField compact="0" numFmtId="164" outline="0" showAll="0" defaultSubtotal="0">
      <extLst>
        <ext xmlns:x14="http://schemas.microsoft.com/office/spreadsheetml/2009/9/main" uri="{2946ED86-A175-432a-8AC1-64E0C546D7DE}">
          <x14:pivotField fillDownLabels="1"/>
        </ext>
      </extLst>
    </pivotField>
    <pivotField compact="0" numFmtId="164" outline="0" showAll="0" defaultSubtotal="0">
      <extLst>
        <ext xmlns:x14="http://schemas.microsoft.com/office/spreadsheetml/2009/9/main" uri="{2946ED86-A175-432a-8AC1-64E0C546D7DE}">
          <x14:pivotField fillDownLabels="1"/>
        </ext>
      </extLst>
    </pivotField>
    <pivotField axis="axisRow" compact="0" numFmtId="164" outline="0" showAll="0" defaultSubtotal="0">
      <items count="66">
        <item m="1" x="14"/>
        <item m="1" x="24"/>
        <item m="1" x="64"/>
        <item m="1" x="11"/>
        <item m="1" x="22"/>
        <item m="1" x="33"/>
        <item m="1" x="36"/>
        <item m="1" x="37"/>
        <item m="1" x="4"/>
        <item m="1" x="56"/>
        <item m="1" x="40"/>
        <item m="1" x="45"/>
        <item m="1" x="43"/>
        <item m="1" x="34"/>
        <item m="1" x="5"/>
        <item m="1" x="10"/>
        <item m="1" x="59"/>
        <item m="1" x="42"/>
        <item m="1" x="25"/>
        <item m="1" x="30"/>
        <item m="1" x="65"/>
        <item m="1" x="28"/>
        <item m="1" x="9"/>
        <item m="1" x="57"/>
        <item m="1" x="49"/>
        <item m="1" x="38"/>
        <item m="1" x="6"/>
        <item m="1" x="8"/>
        <item m="1" x="54"/>
        <item m="1" x="62"/>
        <item m="1" x="53"/>
        <item m="1" x="48"/>
        <item m="1" x="39"/>
        <item m="1" x="20"/>
        <item m="1" x="26"/>
        <item m="1" x="18"/>
        <item m="1" x="61"/>
        <item m="1" x="17"/>
        <item m="1" x="29"/>
        <item m="1" x="41"/>
        <item m="1" x="23"/>
        <item m="1" x="15"/>
        <item m="1" x="55"/>
        <item m="1" x="51"/>
        <item m="1" x="63"/>
        <item m="1" x="32"/>
        <item x="2"/>
        <item m="1" x="21"/>
        <item m="1" x="44"/>
        <item m="1" x="13"/>
        <item m="1" x="47"/>
        <item m="1" x="27"/>
        <item m="1" x="60"/>
        <item m="1" x="12"/>
        <item m="1" x="7"/>
        <item m="1" x="50"/>
        <item m="1" x="31"/>
        <item m="1" x="35"/>
        <item m="1" x="52"/>
        <item m="1" x="16"/>
        <item m="1" x="19"/>
        <item m="1" x="46"/>
        <item m="1" x="58"/>
        <item h="1" m="1" x="3"/>
        <item x="0"/>
        <item h="1" x="1"/>
      </items>
      <extLst>
        <ext xmlns:x14="http://schemas.microsoft.com/office/spreadsheetml/2009/9/main" uri="{2946ED86-A175-432a-8AC1-64E0C546D7DE}">
          <x14:pivotField fillDownLabels="1"/>
        </ext>
      </extLst>
    </pivotField>
  </pivotFields>
  <rowFields count="2">
    <field x="17"/>
    <field x="0"/>
  </rowFields>
  <rowItems count="1">
    <i>
      <x v="64"/>
      <x v="9"/>
    </i>
  </rowItems>
  <colFields count="1">
    <field x="-2"/>
  </colFields>
  <colItems count="10">
    <i>
      <x/>
    </i>
    <i i="1">
      <x v="1"/>
    </i>
    <i i="2">
      <x v="2"/>
    </i>
    <i i="3">
      <x v="3"/>
    </i>
    <i i="4">
      <x v="4"/>
    </i>
    <i i="5">
      <x v="5"/>
    </i>
    <i i="6">
      <x v="6"/>
    </i>
    <i i="7">
      <x v="7"/>
    </i>
    <i i="8">
      <x v="8"/>
    </i>
    <i i="9">
      <x v="9"/>
    </i>
  </colItems>
  <pageFields count="1">
    <pageField fld="4" hier="-1"/>
  </pageFields>
  <dataFields count="10">
    <dataField name="Sum of Ind Death" fld="5" baseField="0" baseItem="0" numFmtId="164"/>
    <dataField name="Sum of Ind pt" fld="7" baseField="0" baseItem="0" numFmtId="164"/>
    <dataField name="Sum of Ind Maj" fld="9" baseField="0" baseItem="0" numFmtId="164"/>
    <dataField name="Sum of Ind Min" fld="11" baseField="0" baseItem="0" numFmtId="164"/>
    <dataField name="Sum of Ind TT" fld="13" baseField="0" baseItem="0" numFmtId="164"/>
    <dataField name="Sum of Med Death" fld="6" baseField="0" baseItem="0" numFmtId="164"/>
    <dataField name="Sum of Med pt" fld="8" baseField="0" baseItem="0" numFmtId="164"/>
    <dataField name="Sum of Med Maj" fld="10" baseField="0" baseItem="0" numFmtId="164"/>
    <dataField name="Sum of Med Min" fld="12" baseField="0" baseItem="0" numFmtId="164"/>
    <dataField name="Sum of Med TT" fld="14" baseField="0" baseItem="0" numFmtId="164"/>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fillDownLabelsDefault="1" hideValuesRow="1"/>
    </ext>
    <ext xmlns:xpdl="http://schemas.microsoft.com/office/spreadsheetml/2016/pivotdefaultlayout" uri="{747A6164-185A-40DC-8AA5-F01512510D54}">
      <xpdl:pivotTableDefinition16 EnabledSubtotalsDefault="0" SubtotalsOnTopDefault="0"/>
    </ext>
  </extLst>
</pivotTableDefinition>
</file>

<file path=xl/pivotTables/pivotTable3.xml><?xml version="1.0" encoding="utf-8"?>
<pivotTableDefinition xmlns="http://schemas.openxmlformats.org/spreadsheetml/2006/main" xmlns:mc="http://schemas.openxmlformats.org/markup-compatibility/2006" xmlns:xr="http://schemas.microsoft.com/office/spreadsheetml/2014/revision" mc:Ignorable="xr" xr:uid="{5844BB8B-9956-44F1-A326-D47DA95BCB02}" name="PivotTable12" cacheId="10" applyNumberFormats="0" applyBorderFormats="0" applyFontFormats="0" applyPatternFormats="0" applyAlignmentFormats="0" applyWidthHeightFormats="1" dataCaption="Values" updatedVersion="8" minRefreshableVersion="3" useAutoFormatting="1" itemPrintTitles="1" createdVersion="6" indent="0" outline="1" outlineData="1" multipleFieldFilters="0">
  <location ref="BI4:BL16" firstHeaderRow="0" firstDataRow="1" firstDataCol="1"/>
  <pivotFields count="16">
    <pivotField axis="axisRow" numFmtId="164" showAll="0" sortType="ascending">
      <items count="338">
        <item m="1" x="11"/>
        <item m="1" x="55"/>
        <item m="1" x="114"/>
        <item m="1" x="163"/>
        <item m="1" x="219"/>
        <item m="1" x="244"/>
        <item m="1" x="298"/>
        <item m="1" x="323"/>
        <item m="1" x="31"/>
        <item m="1" x="118"/>
        <item m="1" x="20"/>
        <item m="1" x="37"/>
        <item m="1" x="324"/>
        <item m="1" x="32"/>
        <item m="1" x="51"/>
        <item m="1" x="273"/>
        <item m="1" x="40"/>
        <item m="1" x="286"/>
        <item m="1" x="209"/>
        <item m="1" x="130"/>
        <item m="1" x="56"/>
        <item m="1" x="299"/>
        <item m="1" x="222"/>
        <item m="1" x="143"/>
        <item m="1" x="73"/>
        <item m="1" x="313"/>
        <item m="1" x="237"/>
        <item m="1" x="173"/>
        <item m="1" x="292"/>
        <item m="1" x="213"/>
        <item m="1" x="136"/>
        <item m="1" x="182"/>
        <item m="1" x="108"/>
        <item m="1" x="226"/>
        <item m="1" x="300"/>
        <item m="1" x="223"/>
        <item m="1" x="144"/>
        <item m="1" x="270"/>
        <item m="1" x="93"/>
        <item m="1" x="214"/>
        <item m="1" x="241"/>
        <item m="1" x="41"/>
        <item m="1" x="88"/>
        <item m="1" x="331"/>
        <item m="1" x="220"/>
        <item m="1" x="242"/>
        <item m="1" x="42"/>
        <item m="1" x="164"/>
        <item m="1" x="287"/>
        <item m="1" x="89"/>
        <item m="1" x="104"/>
        <item m="1" x="318"/>
        <item m="1" x="21"/>
        <item m="1" x="282"/>
        <item m="1" x="183"/>
        <item m="1" x="325"/>
        <item m="1" x="174"/>
        <item m="1" x="99"/>
        <item m="1" x="18"/>
        <item m="1" x="263"/>
        <item m="1" x="68"/>
        <item m="1" x="90"/>
        <item m="1" x="332"/>
        <item m="1" x="131"/>
        <item m="1" x="252"/>
        <item m="1" x="150"/>
        <item m="1" x="74"/>
        <item m="1" x="238"/>
        <item m="1" x="157"/>
        <item m="1" x="63"/>
        <item m="1" x="84"/>
        <item m="1" x="202"/>
        <item m="1" x="227"/>
        <item m="1" x="25"/>
        <item m="1" x="247"/>
        <item m="1" x="147"/>
        <item m="1" x="52"/>
        <item m="1" x="175"/>
        <item m="1" x="295"/>
        <item m="1" x="197"/>
        <item m="1" x="100"/>
        <item m="1" x="139"/>
        <item m="1" x="43"/>
        <item m="1" x="264"/>
        <item m="1" x="165"/>
        <item m="1" x="69"/>
        <item m="1" x="288"/>
        <item m="1" x="187"/>
        <item m="1" x="232"/>
        <item m="1" x="33"/>
        <item m="1" x="253"/>
        <item m="1" x="151"/>
        <item m="1" x="57"/>
        <item m="1" x="277"/>
        <item m="1" x="48"/>
        <item m="1" x="191"/>
        <item m="1" x="94"/>
        <item m="1" x="12"/>
        <item m="1" x="58"/>
        <item m="1" x="326"/>
        <item m="1" x="248"/>
        <item m="1" x="224"/>
        <item m="1" x="123"/>
        <item m="1" x="22"/>
        <item m="1" x="271"/>
        <item m="1" x="192"/>
        <item m="1" x="95"/>
        <item m="1" x="13"/>
        <item m="1" x="304"/>
        <item m="1" x="203"/>
        <item m="1" x="109"/>
        <item m="1" x="327"/>
        <item m="1" x="278"/>
        <item m="1" x="228"/>
        <item m="1" x="126"/>
        <item m="1" x="148"/>
        <item m="1" x="77"/>
        <item m="1" x="140"/>
        <item m="1" x="44"/>
        <item m="1" x="314"/>
        <item m="1" x="265"/>
        <item m="1" x="215"/>
        <item m="1" x="166"/>
        <item m="1" x="70"/>
        <item m="1" x="14"/>
        <item m="1" x="289"/>
        <item m="1" x="239"/>
        <item m="1" x="188"/>
        <item m="1" x="137"/>
        <item m="1" x="91"/>
        <item m="1" x="38"/>
        <item m="1" x="309"/>
        <item m="1" x="259"/>
        <item m="1" x="210"/>
        <item m="1" x="158"/>
        <item m="1" x="115"/>
        <item m="1" x="64"/>
        <item m="1" x="333"/>
        <item m="1" x="283"/>
        <item m="1" x="233"/>
        <item m="1" x="184"/>
        <item m="1" x="132"/>
        <item m="1" x="85"/>
        <item m="1" x="254"/>
        <item m="1" x="204"/>
        <item m="1" x="152"/>
        <item m="1" x="110"/>
        <item m="1" x="59"/>
        <item m="1" x="279"/>
        <item m="1" x="178"/>
        <item m="1" x="127"/>
        <item m="1" x="75"/>
        <item m="1" x="45"/>
        <item m="1" x="266"/>
        <item m="1" x="119"/>
        <item m="1" x="255"/>
        <item m="1" x="229"/>
        <item m="1" x="179"/>
        <item m="1" x="128"/>
        <item m="1" x="26"/>
        <item m="1" x="249"/>
        <item m="1" x="149"/>
        <item m="1" x="310"/>
        <item m="1" x="260"/>
        <item m="1" x="159"/>
        <item m="1" x="116"/>
        <item m="1" x="65"/>
        <item m="1" x="334"/>
        <item m="1" x="284"/>
        <item m="1" x="234"/>
        <item m="1" x="133"/>
        <item m="1" x="86"/>
        <item m="1" x="34"/>
        <item m="1" x="305"/>
        <item m="1" x="256"/>
        <item m="1" x="205"/>
        <item m="1" x="153"/>
        <item m="1" x="111"/>
        <item m="1" x="60"/>
        <item m="1" x="328"/>
        <item m="1" x="280"/>
        <item m="1" x="81"/>
        <item m="1" x="250"/>
        <item m="1" x="193"/>
        <item m="1" x="96"/>
        <item m="1" x="46"/>
        <item m="1" x="315"/>
        <item m="1" x="267"/>
        <item m="1" x="167"/>
        <item m="1" x="15"/>
        <item m="1" x="235"/>
        <item m="1" x="134"/>
        <item m="1" x="35"/>
        <item m="1" x="306"/>
        <item m="1" x="257"/>
        <item m="1" x="206"/>
        <item m="1" x="154"/>
        <item m="1" x="112"/>
        <item m="1" x="61"/>
        <item m="1" x="329"/>
        <item m="1" x="82"/>
        <item m="1" x="27"/>
        <item m="1" x="301"/>
        <item m="1" x="251"/>
        <item m="1" x="53"/>
        <item m="1" x="319"/>
        <item m="1" x="274"/>
        <item m="1" x="176"/>
        <item m="1" x="124"/>
        <item m="1" x="78"/>
        <item m="1" x="23"/>
        <item m="1" x="296"/>
        <item m="1" x="245"/>
        <item m="1" x="198"/>
        <item m="1" x="145"/>
        <item m="1" x="101"/>
        <item m="1" x="49"/>
        <item m="1" x="316"/>
        <item m="1" x="272"/>
        <item m="1" x="221"/>
        <item m="1" x="170"/>
        <item m="1" x="121"/>
        <item m="1" x="76"/>
        <item m="1" x="19"/>
        <item m="1" x="293"/>
        <item m="1" x="243"/>
        <item m="1" x="194"/>
        <item m="1" x="141"/>
        <item m="1" x="97"/>
        <item m="1" x="47"/>
        <item m="1" x="216"/>
        <item m="1" x="168"/>
        <item m="1" x="120"/>
        <item m="1" x="71"/>
        <item m="1" x="16"/>
        <item m="1" x="290"/>
        <item m="1" x="189"/>
        <item m="1" x="138"/>
        <item m="1" x="92"/>
        <item m="1" x="39"/>
        <item m="1" x="311"/>
        <item m="1" x="261"/>
        <item m="1" x="211"/>
        <item m="1" x="160"/>
        <item m="1" x="117"/>
        <item m="1" x="66"/>
        <item m="1" x="335"/>
        <item m="1" x="236"/>
        <item m="1" x="185"/>
        <item m="1" x="135"/>
        <item m="1" x="87"/>
        <item m="1" x="36"/>
        <item m="1" x="307"/>
        <item m="1" x="258"/>
        <item m="1" x="207"/>
        <item m="1" x="155"/>
        <item m="1" x="113"/>
        <item m="1" x="62"/>
        <item m="1" x="330"/>
        <item m="1" x="281"/>
        <item m="1" x="230"/>
        <item m="1" x="180"/>
        <item m="1" x="129"/>
        <item m="1" x="83"/>
        <item m="1" x="28"/>
        <item m="1" x="302"/>
        <item m="1" x="201"/>
        <item m="1" x="105"/>
        <item m="1" x="54"/>
        <item m="1" x="320"/>
        <item m="1" x="275"/>
        <item m="1" x="225"/>
        <item m="1" x="177"/>
        <item m="1" x="125"/>
        <item m="1" x="79"/>
        <item m="1" x="24"/>
        <item m="1" x="246"/>
        <item m="1" x="199"/>
        <item m="1" x="146"/>
        <item m="1" x="102"/>
        <item m="1" x="317"/>
        <item m="1" x="171"/>
        <item m="1" x="122"/>
        <item m="1" x="294"/>
        <item m="1" x="195"/>
        <item m="1" x="98"/>
        <item m="1" x="297"/>
        <item m="1" x="181"/>
        <item m="1" x="312"/>
        <item m="1" x="208"/>
        <item m="1" x="276"/>
        <item m="1" x="106"/>
        <item m="1" x="29"/>
        <item m="1" x="80"/>
        <item m="1" x="217"/>
        <item m="1" x="103"/>
        <item m="1" x="291"/>
        <item m="1" x="200"/>
        <item m="1" x="156"/>
        <item m="1" x="196"/>
        <item m="1" x="231"/>
        <item m="1" x="17"/>
        <item m="1" x="172"/>
        <item m="1" x="308"/>
        <item m="1" x="190"/>
        <item m="1" x="321"/>
        <item m="1" x="268"/>
        <item m="1" x="72"/>
        <item m="1" x="303"/>
        <item m="1" x="50"/>
        <item m="1" x="142"/>
        <item m="1" x="322"/>
        <item m="1" x="218"/>
        <item m="1" x="30"/>
        <item m="1" x="169"/>
        <item m="1" x="186"/>
        <item m="1" x="67"/>
        <item m="1" x="262"/>
        <item m="1" x="212"/>
        <item m="1" x="161"/>
        <item m="1" x="107"/>
        <item m="1" x="240"/>
        <item m="1" x="336"/>
        <item m="1" x="285"/>
        <item m="1" x="162"/>
        <item m="1" x="269"/>
        <item x="9"/>
        <item x="8"/>
        <item x="0"/>
        <item x="7"/>
        <item x="1"/>
        <item x="2"/>
        <item x="3"/>
        <item x="4"/>
        <item x="5"/>
        <item x="6"/>
        <item x="10"/>
        <item t="default"/>
      </items>
    </pivotField>
    <pivotField numFmtId="164" showAll="0"/>
    <pivotField numFmtId="168" showAll="0"/>
    <pivotField numFmtId="168" showAll="0"/>
    <pivotField numFmtId="168" showAll="0"/>
    <pivotField numFmtId="168" showAll="0"/>
    <pivotField numFmtId="168" showAll="0"/>
    <pivotField numFmtId="168" showAll="0"/>
    <pivotField numFmtId="168" showAll="0"/>
    <pivotField numFmtId="168" showAll="0"/>
    <pivotField numFmtId="168" showAll="0"/>
    <pivotField numFmtId="168" showAll="0"/>
    <pivotField numFmtId="168" showAll="0"/>
    <pivotField dataField="1" numFmtId="168" showAll="0"/>
    <pivotField dataField="1" numFmtId="164" showAll="0"/>
    <pivotField dataField="1" numFmtId="164" showAll="0"/>
  </pivotFields>
  <rowFields count="1">
    <field x="0"/>
  </rowFields>
  <rowItems count="12">
    <i>
      <x v="326"/>
    </i>
    <i>
      <x v="327"/>
    </i>
    <i>
      <x v="328"/>
    </i>
    <i>
      <x v="329"/>
    </i>
    <i>
      <x v="330"/>
    </i>
    <i>
      <x v="331"/>
    </i>
    <i>
      <x v="332"/>
    </i>
    <i>
      <x v="333"/>
    </i>
    <i>
      <x v="334"/>
    </i>
    <i>
      <x v="335"/>
    </i>
    <i>
      <x v="336"/>
    </i>
    <i t="grand">
      <x/>
    </i>
  </rowItems>
  <colFields count="1">
    <field x="-2"/>
  </colFields>
  <colItems count="3">
    <i>
      <x/>
    </i>
    <i i="1">
      <x v="1"/>
    </i>
    <i i="2">
      <x v="2"/>
    </i>
  </colItems>
  <dataFields count="3">
    <dataField name="Sum of Serious" fld="13" baseField="0" baseItem="0" numFmtId="164"/>
    <dataField name="Sum of Non-Serious" fld="14" baseField="0" baseItem="0" numFmtId="164"/>
    <dataField name="Sum of MO2" fld="15" baseField="0" baseItem="0" numFmtId="164"/>
  </dataFields>
  <formats count="5">
    <format dxfId="5">
      <pivotArea outline="0" collapsedLevelsAreSubtotals="1" fieldPosition="0"/>
    </format>
    <format dxfId="4">
      <pivotArea collapsedLevelsAreSubtotals="1" fieldPosition="0">
        <references count="1">
          <reference field="0" count="8">
            <x v="54"/>
            <x v="55"/>
            <x v="58"/>
            <x v="59"/>
            <x v="61"/>
            <x v="62"/>
            <x v="63"/>
            <x v="64"/>
          </reference>
        </references>
      </pivotArea>
    </format>
    <format dxfId="3">
      <pivotArea dataOnly="0" labelOnly="1" fieldPosition="0">
        <references count="1">
          <reference field="0" count="8">
            <x v="54"/>
            <x v="55"/>
            <x v="58"/>
            <x v="59"/>
            <x v="61"/>
            <x v="62"/>
            <x v="63"/>
            <x v="64"/>
          </reference>
        </references>
      </pivotArea>
    </format>
    <format dxfId="2">
      <pivotArea collapsedLevelsAreSubtotals="1" fieldPosition="0">
        <references count="1">
          <reference field="0" count="13">
            <x v="36"/>
            <x v="37"/>
            <x v="38"/>
            <x v="39"/>
            <x v="40"/>
            <x v="41"/>
            <x v="42"/>
            <x v="43"/>
            <x v="44"/>
            <x v="45"/>
            <x v="46"/>
            <x v="47"/>
            <x v="48"/>
          </reference>
        </references>
      </pivotArea>
    </format>
    <format dxfId="1">
      <pivotArea dataOnly="0" labelOnly="1" fieldPosition="0">
        <references count="1">
          <reference field="0" count="13">
            <x v="36"/>
            <x v="37"/>
            <x v="38"/>
            <x v="39"/>
            <x v="40"/>
            <x v="41"/>
            <x v="42"/>
            <x v="43"/>
            <x v="44"/>
            <x v="45"/>
            <x v="46"/>
            <x v="47"/>
            <x v="48"/>
          </reference>
        </references>
      </pivotArea>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4.xml><?xml version="1.0" encoding="utf-8"?>
<pivotTableDefinition xmlns="http://schemas.openxmlformats.org/spreadsheetml/2006/main" xmlns:mc="http://schemas.openxmlformats.org/markup-compatibility/2006" xmlns:xr="http://schemas.microsoft.com/office/spreadsheetml/2014/revision" mc:Ignorable="xr" xr:uid="{195DE4C3-766A-4D57-AAFA-C98DD860A44F}" name="PivotTable16" cacheId="11" applyNumberFormats="0" applyBorderFormats="0" applyFontFormats="0" applyPatternFormats="0" applyAlignmentFormats="0" applyWidthHeightFormats="1" dataCaption="Values" updatedVersion="8" minRefreshableVersion="3" useAutoFormatting="1" itemPrintTitles="1" createdVersion="6" indent="0" outline="1" outlineData="1" multipleFieldFilters="0">
  <location ref="R1:X3" firstHeaderRow="0" firstDataRow="1" firstDataCol="1"/>
  <pivotFields count="14">
    <pivotField axis="axisRow" numFmtId="164" showAll="0">
      <items count="5">
        <item h="1" m="1" x="2"/>
        <item h="1" m="1" x="1"/>
        <item h="1" m="1" x="3"/>
        <item x="0"/>
        <item t="default"/>
      </items>
    </pivotField>
    <pivotField numFmtId="164" showAll="0"/>
    <pivotField showAll="0"/>
    <pivotField dataField="1" showAll="0"/>
    <pivotField showAll="0"/>
    <pivotField dataField="1" showAll="0"/>
    <pivotField showAll="0"/>
    <pivotField dataField="1" showAll="0"/>
    <pivotField showAll="0"/>
    <pivotField dataField="1" showAll="0"/>
    <pivotField showAll="0"/>
    <pivotField dataField="1" showAll="0"/>
    <pivotField showAll="0"/>
    <pivotField dataField="1" showAll="0"/>
  </pivotFields>
  <rowFields count="1">
    <field x="0"/>
  </rowFields>
  <rowItems count="2">
    <i>
      <x v="3"/>
    </i>
    <i t="grand">
      <x/>
    </i>
  </rowItems>
  <colFields count="1">
    <field x="-2"/>
  </colFields>
  <colItems count="6">
    <i>
      <x/>
    </i>
    <i i="1">
      <x v="1"/>
    </i>
    <i i="2">
      <x v="2"/>
    </i>
    <i i="3">
      <x v="3"/>
    </i>
    <i i="4">
      <x v="4"/>
    </i>
    <i i="5">
      <x v="5"/>
    </i>
  </colItems>
  <dataFields count="6">
    <dataField name="Sum of Expected Losses" fld="3" baseField="0" baseItem="0" numFmtId="164"/>
    <dataField name="Sum of Expected Losses2" fld="5" baseField="0" baseItem="0" numFmtId="164"/>
    <dataField name="Sum of Expected Losses3" fld="7" baseField="0" baseItem="0" numFmtId="164"/>
    <dataField name="Sum of PAYROLL" fld="9" baseField="0" baseItem="0" numFmtId="164"/>
    <dataField name="Sum of PAYROLL2" fld="11" baseField="0" baseItem="0" numFmtId="164"/>
    <dataField name="Sum of PAYROLL3" fld="13" baseField="0" baseItem="0" numFmtId="164"/>
  </dataFields>
  <formats count="1">
    <format dxfId="0">
      <pivotArea outline="0" collapsedLevelsAreSubtotals="1"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5.xml><?xml version="1.0" encoding="utf-8"?>
<pivotTableDefinition xmlns="http://schemas.openxmlformats.org/spreadsheetml/2006/main" xmlns:mc="http://schemas.openxmlformats.org/markup-compatibility/2006" xmlns:xr="http://schemas.microsoft.com/office/spreadsheetml/2014/revision" mc:Ignorable="xr" xr:uid="{6B48F5CA-6CED-44FF-8C7C-8ECED756DC1A}" name="PivotTable18" cacheId="12" applyNumberFormats="0" applyBorderFormats="0" applyFontFormats="0" applyPatternFormats="0" applyAlignmentFormats="0" applyWidthHeightFormats="1" dataCaption="Values" updatedVersion="8" minRefreshableVersion="3" useAutoFormatting="1" itemPrintTitles="1" createdVersion="7" indent="0" outline="1" outlineData="1" multipleFieldFilters="0">
  <location ref="N4:N5" firstHeaderRow="1" firstDataRow="1" firstDataCol="0" rowPageCount="1" colPageCount="1"/>
  <pivotFields count="2">
    <pivotField dataField="1" showAll="0"/>
    <pivotField axis="axisPage" multipleItemSelectionAllowed="1" showAll="0">
      <items count="3">
        <item m="1" x="1"/>
        <item x="0"/>
        <item t="default"/>
      </items>
    </pivotField>
  </pivotFields>
  <rowItems count="1">
    <i/>
  </rowItems>
  <colItems count="1">
    <i/>
  </colItems>
  <pageFields count="1">
    <pageField fld="1" hier="-1"/>
  </pageFields>
  <dataFields count="1">
    <dataField name="Sum of Difference" fld="0" baseField="0" baseItem="114753657" numFmtId="164"/>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6.xml><?xml version="1.0" encoding="utf-8"?>
<pivotTableDefinition xmlns="http://schemas.openxmlformats.org/spreadsheetml/2006/main" xmlns:mc="http://schemas.openxmlformats.org/markup-compatibility/2006" xmlns:xr="http://schemas.microsoft.com/office/spreadsheetml/2014/revision" mc:Ignorable="xr" xr:uid="{D56FF127-2668-4530-8C00-EB83F0C0B808}" name="PivotTable2" cacheId="13"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location ref="X6:Z8" firstHeaderRow="0" firstDataRow="1" firstDataCol="1" rowPageCount="2" colPageCount="1"/>
  <pivotFields count="7">
    <pivotField numFmtId="164" showAll="0"/>
    <pivotField axis="axisRow" numFmtId="164" showAll="0">
      <items count="5">
        <item h="1" m="1" x="3"/>
        <item h="1" m="1" x="2"/>
        <item h="1" m="1" x="1"/>
        <item x="0"/>
        <item t="default"/>
      </items>
    </pivotField>
    <pivotField showAll="0"/>
    <pivotField showAll="0"/>
    <pivotField axis="axisPage" dataField="1" multipleItemSelectionAllowed="1" showAll="0">
      <items count="374">
        <item m="1" x="11"/>
        <item m="1" x="47"/>
        <item m="1" x="243"/>
        <item m="1" x="38"/>
        <item m="1" x="370"/>
        <item m="1" x="235"/>
        <item m="1" x="14"/>
        <item m="1" x="367"/>
        <item m="1" x="365"/>
        <item m="1" x="91"/>
        <item m="1" x="282"/>
        <item m="1" x="142"/>
        <item m="1" x="134"/>
        <item m="1" x="276"/>
        <item m="1" x="139"/>
        <item m="1" x="156"/>
        <item m="1" x="283"/>
        <item m="1" x="83"/>
        <item m="1" x="213"/>
        <item m="1" x="194"/>
        <item m="1" x="286"/>
        <item m="1" x="326"/>
        <item m="1" x="310"/>
        <item m="1" x="312"/>
        <item m="1" x="180"/>
        <item m="1" x="45"/>
        <item m="1" x="331"/>
        <item m="1" x="104"/>
        <item m="1" x="26"/>
        <item m="1" x="168"/>
        <item m="1" x="32"/>
        <item m="1" x="138"/>
        <item m="1" x="219"/>
        <item m="1" x="354"/>
        <item m="1" x="266"/>
        <item m="1" x="333"/>
        <item m="1" x="17"/>
        <item m="1" x="165"/>
        <item m="1" x="264"/>
        <item m="1" x="268"/>
        <item m="1" x="173"/>
        <item m="1" x="164"/>
        <item m="1" x="22"/>
        <item m="1" x="174"/>
        <item m="1" x="338"/>
        <item m="1" x="66"/>
        <item m="1" x="343"/>
        <item m="1" x="122"/>
        <item m="1" x="100"/>
        <item m="1" x="86"/>
        <item m="1" x="166"/>
        <item m="1" x="34"/>
        <item m="1" x="272"/>
        <item m="1" x="298"/>
        <item m="1" x="346"/>
        <item m="1" x="147"/>
        <item m="1" x="184"/>
        <item m="1" x="150"/>
        <item m="1" x="98"/>
        <item m="1" x="119"/>
        <item m="1" x="253"/>
        <item m="1" x="318"/>
        <item m="1" x="27"/>
        <item m="1" x="152"/>
        <item m="1" x="250"/>
        <item m="1" x="270"/>
        <item m="1" x="195"/>
        <item m="1" x="222"/>
        <item m="1" x="347"/>
        <item m="1" x="37"/>
        <item m="1" x="113"/>
        <item m="1" x="130"/>
        <item m="1" x="335"/>
        <item m="1" x="352"/>
        <item m="1" x="101"/>
        <item m="1" x="339"/>
        <item m="1" x="320"/>
        <item m="1" x="18"/>
        <item m="1" x="372"/>
        <item m="1" x="238"/>
        <item m="1" x="305"/>
        <item m="1" x="154"/>
        <item m="1" x="337"/>
        <item m="1" x="163"/>
        <item m="1" x="178"/>
        <item m="1" x="241"/>
        <item m="1" x="111"/>
        <item m="1" x="24"/>
        <item m="1" x="349"/>
        <item m="1" x="151"/>
        <item m="1" x="106"/>
        <item m="1" x="342"/>
        <item m="1" x="145"/>
        <item m="1" x="316"/>
        <item m="1" x="51"/>
        <item m="1" x="92"/>
        <item m="1" x="269"/>
        <item m="1" x="327"/>
        <item m="1" x="198"/>
        <item m="1" x="225"/>
        <item m="1" x="169"/>
        <item m="1" x="230"/>
        <item m="1" x="355"/>
        <item m="1" x="76"/>
        <item m="1" x="77"/>
        <item m="1" x="360"/>
        <item m="1" x="170"/>
        <item m="1" x="228"/>
        <item m="1" x="325"/>
        <item m="1" x="131"/>
        <item m="1" x="302"/>
        <item m="1" x="132"/>
        <item m="1" x="275"/>
        <item m="1" x="363"/>
        <item m="1" x="57"/>
        <item m="1" x="43"/>
        <item m="1" x="321"/>
        <item m="1" x="48"/>
        <item m="1" x="146"/>
        <item m="1" x="67"/>
        <item m="1" x="259"/>
        <item m="1" x="255"/>
        <item m="1" x="205"/>
        <item m="1" x="244"/>
        <item m="1" x="49"/>
        <item m="1" x="274"/>
        <item m="1" x="69"/>
        <item m="1" x="301"/>
        <item m="1" x="351"/>
        <item m="1" x="44"/>
        <item m="1" x="324"/>
        <item m="1" x="358"/>
        <item m="1" x="158"/>
        <item m="1" x="291"/>
        <item m="1" x="359"/>
        <item m="1" x="54"/>
        <item m="1" x="299"/>
        <item m="1" x="210"/>
        <item m="1" x="63"/>
        <item m="1" x="62"/>
        <item m="1" x="97"/>
        <item m="1" x="199"/>
        <item m="1" x="201"/>
        <item m="1" x="70"/>
        <item m="1" x="308"/>
        <item m="1" x="121"/>
        <item m="1" x="296"/>
        <item m="1" x="217"/>
        <item m="1" x="315"/>
        <item m="1" x="242"/>
        <item m="1" x="185"/>
        <item m="1" x="254"/>
        <item m="1" x="203"/>
        <item m="1" x="80"/>
        <item m="1" x="136"/>
        <item m="1" x="53"/>
        <item m="1" x="193"/>
        <item m="1" x="248"/>
        <item m="1" x="234"/>
        <item m="1" x="71"/>
        <item m="1" x="223"/>
        <item m="1" x="215"/>
        <item m="1" x="60"/>
        <item m="1" x="292"/>
        <item m="1" x="31"/>
        <item m="1" x="345"/>
        <item m="1" x="143"/>
        <item m="1" x="361"/>
        <item m="1" x="159"/>
        <item m="1" x="258"/>
        <item m="1" x="175"/>
        <item m="1" x="157"/>
        <item m="1" x="356"/>
        <item m="1" x="105"/>
        <item m="1" x="206"/>
        <item m="1" x="140"/>
        <item m="1" x="93"/>
        <item m="1" x="133"/>
        <item m="1" x="79"/>
        <item m="1" x="82"/>
        <item m="1" x="279"/>
        <item m="1" x="247"/>
        <item m="1" x="232"/>
        <item m="1" x="306"/>
        <item m="1" x="332"/>
        <item m="1" x="366"/>
        <item m="1" x="277"/>
        <item m="1" x="240"/>
        <item m="1" x="19"/>
        <item m="1" x="59"/>
        <item m="1" x="68"/>
        <item m="1" x="61"/>
        <item m="1" x="114"/>
        <item m="1" x="350"/>
        <item m="1" x="99"/>
        <item m="1" x="161"/>
        <item m="1" x="176"/>
        <item m="1" x="368"/>
        <item m="1" x="369"/>
        <item m="1" x="334"/>
        <item m="1" x="64"/>
        <item m="1" x="58"/>
        <item m="1" x="85"/>
        <item m="1" x="190"/>
        <item m="1" x="87"/>
        <item m="1" x="50"/>
        <item m="1" x="135"/>
        <item m="1" x="329"/>
        <item m="1" x="189"/>
        <item m="1" x="294"/>
        <item m="1" x="262"/>
        <item m="1" x="227"/>
        <item m="1" x="29"/>
        <item m="1" x="160"/>
        <item m="1" x="33"/>
        <item m="1" x="12"/>
        <item m="1" x="75"/>
        <item m="1" x="322"/>
        <item m="1" x="110"/>
        <item m="1" x="84"/>
        <item m="1" x="239"/>
        <item m="1" x="208"/>
        <item m="1" x="171"/>
        <item m="1" x="233"/>
        <item m="1" x="265"/>
        <item m="1" x="148"/>
        <item m="1" x="149"/>
        <item m="1" x="52"/>
        <item m="1" x="204"/>
        <item m="1" x="20"/>
        <item m="1" x="336"/>
        <item m="1" x="252"/>
        <item m="1" x="191"/>
        <item m="1" x="197"/>
        <item m="1" x="28"/>
        <item m="1" x="125"/>
        <item m="1" x="78"/>
        <item m="1" x="13"/>
        <item m="1" x="74"/>
        <item m="1" x="179"/>
        <item m="1" x="278"/>
        <item m="1" x="23"/>
        <item m="1" x="231"/>
        <item m="1" x="196"/>
        <item m="1" x="273"/>
        <item m="1" x="30"/>
        <item m="1" x="300"/>
        <item m="1" x="186"/>
        <item m="1" x="95"/>
        <item m="1" x="297"/>
        <item m="1" x="89"/>
        <item m="1" x="72"/>
        <item m="1" x="120"/>
        <item m="1" x="41"/>
        <item m="1" x="21"/>
        <item m="1" x="280"/>
        <item m="1" x="330"/>
        <item m="1" x="362"/>
        <item m="1" x="137"/>
        <item m="1" x="167"/>
        <item m="1" x="344"/>
        <item m="1" x="293"/>
        <item m="1" x="226"/>
        <item m="1" x="353"/>
        <item m="1" x="214"/>
        <item m="1" x="307"/>
        <item m="1" x="123"/>
        <item m="1" x="348"/>
        <item m="1" x="257"/>
        <item m="1" x="112"/>
        <item m="1" x="246"/>
        <item m="1" x="40"/>
        <item m="1" x="46"/>
        <item m="1" x="211"/>
        <item m="1" x="328"/>
        <item m="1" x="202"/>
        <item m="1" x="16"/>
        <item m="1" x="127"/>
        <item m="1" x="183"/>
        <item m="1" x="200"/>
        <item m="1" x="220"/>
        <item m="1" x="177"/>
        <item m="1" x="162"/>
        <item m="1" x="90"/>
        <item m="1" x="256"/>
        <item m="1" x="263"/>
        <item m="1" x="207"/>
        <item m="1" x="371"/>
        <item m="1" x="118"/>
        <item m="1" x="65"/>
        <item m="1" x="109"/>
        <item m="1" x="187"/>
        <item m="1" x="192"/>
        <item m="1" x="281"/>
        <item m="1" x="317"/>
        <item m="1" x="357"/>
        <item m="1" x="236"/>
        <item m="1" x="115"/>
        <item m="1" x="309"/>
        <item m="1" x="42"/>
        <item m="1" x="209"/>
        <item m="1" x="182"/>
        <item m="1" x="249"/>
        <item m="1" x="73"/>
        <item m="1" x="212"/>
        <item m="1" x="116"/>
        <item m="1" x="25"/>
        <item m="1" x="94"/>
        <item m="1" x="35"/>
        <item m="1" x="261"/>
        <item m="1" x="117"/>
        <item m="1" x="88"/>
        <item m="1" x="124"/>
        <item m="1" x="36"/>
        <item m="1" x="229"/>
        <item m="1" x="341"/>
        <item m="1" x="313"/>
        <item m="1" x="260"/>
        <item m="1" x="290"/>
        <item m="1" x="285"/>
        <item m="1" x="96"/>
        <item m="1" x="311"/>
        <item m="1" x="221"/>
        <item m="1" x="287"/>
        <item m="1" x="102"/>
        <item m="1" x="267"/>
        <item m="1" x="224"/>
        <item m="1" x="295"/>
        <item m="1" x="81"/>
        <item m="1" x="126"/>
        <item m="1" x="303"/>
        <item m="1" x="108"/>
        <item m="1" x="289"/>
        <item m="1" x="319"/>
        <item m="1" x="55"/>
        <item m="1" x="304"/>
        <item m="1" x="323"/>
        <item m="1" x="129"/>
        <item m="1" x="314"/>
        <item m="1" x="56"/>
        <item m="1" x="153"/>
        <item m="1" x="340"/>
        <item m="1" x="216"/>
        <item m="1" x="251"/>
        <item m="1" x="103"/>
        <item m="1" x="364"/>
        <item m="1" x="271"/>
        <item m="1" x="141"/>
        <item m="1" x="181"/>
        <item m="1" x="107"/>
        <item m="1" x="144"/>
        <item m="1" x="237"/>
        <item m="1" x="218"/>
        <item m="1" x="15"/>
        <item m="1" x="172"/>
        <item m="1" x="288"/>
        <item m="1" x="284"/>
        <item m="1" x="39"/>
        <item m="1" x="245"/>
        <item m="1" x="128"/>
        <item m="1" x="155"/>
        <item m="1" x="188"/>
        <item x="0"/>
        <item x="1"/>
        <item x="2"/>
        <item x="3"/>
        <item x="4"/>
        <item x="5"/>
        <item x="6"/>
        <item x="7"/>
        <item x="8"/>
        <item x="9"/>
        <item x="10"/>
        <item t="default"/>
      </items>
    </pivotField>
    <pivotField showAll="0"/>
    <pivotField axis="axisPage" dataField="1" multipleItemSelectionAllowed="1" showAll="0">
      <items count="485">
        <item m="1" x="11"/>
        <item m="1" x="100"/>
        <item m="1" x="173"/>
        <item m="1" x="257"/>
        <item m="1" x="483"/>
        <item m="1" x="162"/>
        <item m="1" x="470"/>
        <item m="1" x="114"/>
        <item m="1" x="98"/>
        <item m="1" x="310"/>
        <item m="1" x="274"/>
        <item m="1" x="416"/>
        <item m="1" x="267"/>
        <item m="1" x="235"/>
        <item m="1" x="410"/>
        <item m="1" x="171"/>
        <item m="1" x="273"/>
        <item m="1" x="200"/>
        <item m="1" x="119"/>
        <item m="1" x="333"/>
        <item m="1" x="380"/>
        <item m="1" x="446"/>
        <item m="1" x="213"/>
        <item m="1" x="400"/>
        <item m="1" x="23"/>
        <item m="1" x="269"/>
        <item m="1" x="306"/>
        <item m="1" x="178"/>
        <item m="1" x="180"/>
        <item m="1" x="270"/>
        <item m="1" x="465"/>
        <item m="1" x="321"/>
        <item m="1" x="20"/>
        <item m="1" x="385"/>
        <item m="1" x="207"/>
        <item m="1" x="113"/>
        <item m="1" x="202"/>
        <item m="1" x="374"/>
        <item m="1" x="215"/>
        <item m="1" x="459"/>
        <item m="1" x="264"/>
        <item m="1" x="67"/>
        <item m="1" x="147"/>
        <item m="1" x="464"/>
        <item m="1" x="179"/>
        <item m="1" x="108"/>
        <item m="1" x="441"/>
        <item m="1" x="408"/>
        <item m="1" x="266"/>
        <item m="1" x="99"/>
        <item m="1" x="261"/>
        <item m="1" x="44"/>
        <item m="1" x="479"/>
        <item m="1" x="425"/>
        <item m="1" x="471"/>
        <item m="1" x="148"/>
        <item m="1" x="457"/>
        <item m="1" x="60"/>
        <item m="1" x="284"/>
        <item m="1" x="29"/>
        <item m="1" x="322"/>
        <item m="1" x="115"/>
        <item m="1" x="325"/>
        <item m="1" x="136"/>
        <item m="1" x="354"/>
        <item m="1" x="159"/>
        <item m="1" x="240"/>
        <item m="1" x="296"/>
        <item m="1" x="145"/>
        <item m="1" x="54"/>
        <item m="1" x="220"/>
        <item m="1" x="167"/>
        <item m="1" x="326"/>
        <item m="1" x="373"/>
        <item m="1" x="38"/>
        <item m="1" x="323"/>
        <item m="1" x="351"/>
        <item m="1" x="174"/>
        <item m="1" x="462"/>
        <item m="1" x="337"/>
        <item m="1" x="338"/>
        <item m="1" x="301"/>
        <item m="1" x="229"/>
        <item m="1" x="39"/>
        <item m="1" x="195"/>
        <item m="1" x="152"/>
        <item m="1" x="427"/>
        <item m="1" x="37"/>
        <item m="1" x="381"/>
        <item m="1" x="210"/>
        <item m="1" x="349"/>
        <item m="1" x="451"/>
        <item m="1" x="482"/>
        <item m="1" x="256"/>
        <item m="1" x="149"/>
        <item m="1" x="364"/>
        <item m="1" x="184"/>
        <item m="1" x="52"/>
        <item m="1" x="328"/>
        <item m="1" x="94"/>
        <item m="1" x="419"/>
        <item m="1" x="350"/>
        <item m="1" x="405"/>
        <item m="1" x="390"/>
        <item m="1" x="431"/>
        <item m="1" x="56"/>
        <item m="1" x="318"/>
        <item m="1" x="154"/>
        <item m="1" x="118"/>
        <item m="1" x="331"/>
        <item m="1" x="48"/>
        <item m="1" x="377"/>
        <item m="1" x="164"/>
        <item m="1" x="18"/>
        <item m="1" x="236"/>
        <item m="1" x="450"/>
        <item m="1" x="347"/>
        <item m="1" x="254"/>
        <item m="1" x="478"/>
        <item m="1" x="285"/>
        <item m="1" x="329"/>
        <item m="1" x="196"/>
        <item m="1" x="75"/>
        <item m="1" x="238"/>
        <item m="1" x="17"/>
        <item m="1" x="456"/>
        <item m="1" x="218"/>
        <item m="1" x="259"/>
        <item m="1" x="126"/>
        <item m="1" x="302"/>
        <item m="1" x="317"/>
        <item m="1" x="12"/>
        <item m="1" x="304"/>
        <item m="1" x="311"/>
        <item m="1" x="248"/>
        <item m="1" x="88"/>
        <item m="1" x="435"/>
        <item m="1" x="161"/>
        <item m="1" x="137"/>
        <item m="1" x="358"/>
        <item m="1" x="444"/>
        <item m="1" x="421"/>
        <item m="1" x="332"/>
        <item m="1" x="230"/>
        <item m="1" x="320"/>
        <item m="1" x="92"/>
        <item m="1" x="477"/>
        <item m="1" x="278"/>
        <item m="1" x="116"/>
        <item m="1" x="252"/>
        <item m="1" x="123"/>
        <item m="1" x="120"/>
        <item m="1" x="382"/>
        <item m="1" x="255"/>
        <item m="1" x="383"/>
        <item m="1" x="27"/>
        <item m="1" x="22"/>
        <item m="1" x="293"/>
        <item m="1" x="436"/>
        <item m="1" x="362"/>
        <item m="1" x="24"/>
        <item m="1" x="393"/>
        <item m="1" x="452"/>
        <item m="1" x="251"/>
        <item m="1" x="217"/>
        <item m="1" x="80"/>
        <item m="1" x="288"/>
        <item m="1" x="368"/>
        <item m="1" x="130"/>
        <item m="1" x="57"/>
        <item m="1" x="423"/>
        <item m="1" x="272"/>
        <item m="1" x="286"/>
        <item m="1" x="181"/>
        <item m="1" x="330"/>
        <item m="1" x="443"/>
        <item m="1" x="221"/>
        <item m="1" x="384"/>
        <item m="1" x="307"/>
        <item m="1" x="97"/>
        <item m="1" x="35"/>
        <item m="1" x="138"/>
        <item m="1" x="279"/>
        <item m="1" x="233"/>
        <item m="1" x="289"/>
        <item m="1" x="449"/>
        <item m="1" x="249"/>
        <item m="1" x="258"/>
        <item m="1" x="398"/>
        <item m="1" x="14"/>
        <item m="1" x="455"/>
        <item m="1" x="68"/>
        <item m="1" x="177"/>
        <item m="1" x="480"/>
        <item m="1" x="414"/>
        <item m="1" x="290"/>
        <item m="1" x="467"/>
        <item m="1" x="63"/>
        <item m="1" x="169"/>
        <item m="1" x="111"/>
        <item m="1" x="199"/>
        <item m="1" x="430"/>
        <item m="1" x="172"/>
        <item m="1" x="399"/>
        <item m="1" x="348"/>
        <item m="1" x="42"/>
        <item m="1" x="287"/>
        <item m="1" x="243"/>
        <item m="1" x="122"/>
        <item m="1" x="59"/>
        <item m="1" x="197"/>
        <item m="1" x="219"/>
        <item m="1" x="297"/>
        <item m="1" x="105"/>
        <item m="1" x="192"/>
        <item m="1" x="404"/>
        <item m="1" x="140"/>
        <item m="1" x="165"/>
        <item m="1" x="28"/>
        <item m="1" x="194"/>
        <item m="1" x="401"/>
        <item m="1" x="135"/>
        <item m="1" x="185"/>
        <item m="1" x="481"/>
        <item m="1" x="319"/>
        <item m="1" x="392"/>
        <item m="1" x="190"/>
        <item m="1" x="352"/>
        <item m="1" x="356"/>
        <item m="1" x="65"/>
        <item m="1" x="458"/>
        <item m="1" x="175"/>
        <item m="1" x="26"/>
        <item m="1" x="276"/>
        <item m="1" x="168"/>
        <item m="1" x="433"/>
        <item m="1" x="363"/>
        <item m="1" x="33"/>
        <item m="1" x="158"/>
        <item m="1" x="343"/>
        <item m="1" x="308"/>
        <item m="1" x="417"/>
        <item m="1" x="313"/>
        <item m="1" x="442"/>
        <item m="1" x="406"/>
        <item m="1" x="360"/>
        <item m="1" x="64"/>
        <item m="1" x="432"/>
        <item m="1" x="339"/>
        <item m="1" x="95"/>
        <item m="1" x="62"/>
        <item m="1" x="344"/>
        <item m="1" x="342"/>
        <item m="1" x="104"/>
        <item m="1" x="224"/>
        <item m="1" x="434"/>
        <item m="1" x="335"/>
        <item m="1" x="216"/>
        <item m="1" x="34"/>
        <item m="1" x="418"/>
        <item m="1" x="474"/>
        <item m="1" x="420"/>
        <item m="1" x="15"/>
        <item m="1" x="438"/>
        <item m="1" x="73"/>
        <item m="1" x="472"/>
        <item m="1" x="367"/>
        <item m="1" x="239"/>
        <item m="1" x="155"/>
        <item m="1" x="90"/>
        <item m="1" x="134"/>
        <item m="1" x="31"/>
        <item m="1" x="378"/>
        <item m="1" x="403"/>
        <item m="1" x="182"/>
        <item m="1" x="79"/>
        <item m="1" x="49"/>
        <item m="1" x="203"/>
        <item m="1" x="211"/>
        <item m="1" x="204"/>
        <item m="1" x="412"/>
        <item m="1" x="201"/>
        <item m="1" x="45"/>
        <item m="1" x="85"/>
        <item m="1" x="469"/>
        <item m="1" x="361"/>
        <item m="1" x="36"/>
        <item m="1" x="369"/>
        <item m="1" x="305"/>
        <item m="1" x="463"/>
        <item m="1" x="226"/>
        <item m="1" x="244"/>
        <item m="1" x="409"/>
        <item m="1" x="78"/>
        <item m="1" x="61"/>
        <item m="1" x="225"/>
        <item m="1" x="46"/>
        <item m="1" x="153"/>
        <item m="1" x="415"/>
        <item m="1" x="107"/>
        <item m="1" x="96"/>
        <item m="1" x="176"/>
        <item m="1" x="413"/>
        <item m="1" x="166"/>
        <item m="1" x="55"/>
        <item m="1" x="41"/>
        <item m="1" x="132"/>
        <item m="1" x="133"/>
        <item m="1" x="439"/>
        <item m="1" x="340"/>
        <item m="1" x="71"/>
        <item m="1" x="144"/>
        <item h="1" m="1" x="206"/>
        <item h="1" m="1" x="466"/>
        <item h="1" m="1" x="189"/>
        <item h="1" m="1" x="124"/>
        <item h="1" m="1" x="30"/>
        <item h="1" m="1" x="127"/>
        <item h="1" m="1" x="295"/>
        <item h="1" m="1" x="277"/>
        <item h="1" m="1" x="375"/>
        <item h="1" m="1" x="376"/>
        <item h="1" m="1" x="461"/>
        <item h="1" m="1" x="32"/>
        <item h="1" m="1" x="227"/>
        <item h="1" m="1" x="186"/>
        <item h="1" m="1" x="228"/>
        <item h="1" m="1" x="402"/>
        <item h="1" m="1" x="394"/>
        <item h="1" m="1" x="453"/>
        <item h="1" m="1" x="262"/>
        <item h="1" m="1" x="300"/>
        <item h="1" m="1" x="110"/>
        <item h="1" m="1" x="183"/>
        <item h="1" m="1" x="265"/>
        <item h="1" m="1" x="143"/>
        <item h="1" m="1" x="163"/>
        <item h="1" m="1" x="281"/>
        <item h="1" m="1" x="246"/>
        <item h="1" m="1" x="234"/>
        <item h="1" m="1" x="86"/>
        <item h="1" m="1" x="83"/>
        <item h="1" m="1" x="391"/>
        <item h="1" m="1" x="101"/>
        <item h="1" m="1" x="242"/>
        <item h="1" m="1" x="131"/>
        <item h="1" m="1" x="16"/>
        <item h="1" m="1" x="247"/>
        <item h="1" m="1" x="426"/>
        <item h="1" m="1" x="151"/>
        <item h="1" m="1" x="389"/>
        <item h="1" m="1" x="324"/>
        <item h="1" m="1" x="241"/>
        <item h="1" m="1" x="475"/>
        <item h="1" m="1" x="128"/>
        <item h="1" m="1" x="291"/>
        <item h="1" m="1" x="223"/>
        <item h="1" m="1" x="428"/>
        <item h="1" m="1" x="447"/>
        <item h="1" m="1" x="193"/>
        <item h="1" m="1" x="424"/>
        <item h="1" m="1" x="395"/>
        <item h="1" m="1" x="365"/>
        <item h="1" m="1" x="237"/>
        <item h="1" m="1" x="106"/>
        <item h="1" m="1" x="51"/>
        <item h="1" m="1" x="366"/>
        <item h="1" m="1" x="84"/>
        <item h="1" m="1" x="336"/>
        <item h="1" m="1" x="91"/>
        <item h="1" m="1" x="53"/>
        <item h="1" m="1" x="334"/>
        <item h="1" m="1" x="379"/>
        <item h="1" m="1" x="142"/>
        <item h="1" m="1" x="341"/>
        <item h="1" m="1" x="448"/>
        <item h="1" m="1" x="231"/>
        <item h="1" m="1" x="82"/>
        <item h="1" m="1" x="47"/>
        <item h="1" m="1" x="198"/>
        <item h="1" m="1" x="103"/>
        <item h="1" m="1" x="25"/>
        <item h="1" m="1" x="357"/>
        <item h="1" m="1" x="445"/>
        <item h="1" m="1" x="422"/>
        <item h="1" m="1" x="245"/>
        <item h="1" m="1" x="370"/>
        <item h="1" m="1" x="112"/>
        <item h="1" m="1" x="476"/>
        <item h="1" m="1" x="139"/>
        <item h="1" m="1" x="209"/>
        <item h="1" m="1" x="473"/>
        <item h="1" m="1" x="72"/>
        <item h="1" m="1" x="407"/>
        <item h="1" m="1" x="93"/>
        <item h="1" m="1" x="19"/>
        <item h="1" m="1" x="468"/>
        <item h="1" m="1" x="275"/>
        <item h="1" m="1" x="74"/>
        <item h="1" m="1" x="359"/>
        <item h="1" m="1" x="13"/>
        <item m="1" x="156"/>
        <item m="1" x="50"/>
        <item m="1" x="280"/>
        <item m="1" x="429"/>
        <item m="1" x="396"/>
        <item m="1" x="205"/>
        <item m="1" x="355"/>
        <item m="1" x="81"/>
        <item m="1" x="117"/>
        <item m="1" x="66"/>
        <item h="1" m="1" x="440"/>
        <item h="1" m="1" x="150"/>
        <item h="1" m="1" x="314"/>
        <item h="1" m="1" x="58"/>
        <item m="1" x="263"/>
        <item m="1" x="345"/>
        <item m="1" x="125"/>
        <item m="1" x="316"/>
        <item m="1" x="271"/>
        <item m="1" x="371"/>
        <item m="1" x="102"/>
        <item m="1" x="157"/>
        <item m="1" x="386"/>
        <item m="1" x="129"/>
        <item m="1" x="353"/>
        <item h="1" m="1" x="327"/>
        <item m="1" x="76"/>
        <item h="1" m="1" x="454"/>
        <item m="1" x="411"/>
        <item m="1" x="309"/>
        <item m="1" x="397"/>
        <item m="1" x="77"/>
        <item m="1" x="253"/>
        <item m="1" x="388"/>
        <item m="1" x="191"/>
        <item m="1" x="437"/>
        <item m="1" x="40"/>
        <item m="1" x="299"/>
        <item m="1" x="109"/>
        <item m="1" x="208"/>
        <item m="1" x="387"/>
        <item m="1" x="87"/>
        <item m="1" x="121"/>
        <item m="1" x="187"/>
        <item m="1" x="214"/>
        <item m="1" x="283"/>
        <item m="1" x="260"/>
        <item m="1" x="298"/>
        <item m="1" x="212"/>
        <item m="1" x="160"/>
        <item m="1" x="282"/>
        <item m="1" x="170"/>
        <item m="1" x="294"/>
        <item m="1" x="268"/>
        <item m="1" x="232"/>
        <item m="1" x="89"/>
        <item m="1" x="460"/>
        <item m="1" x="303"/>
        <item m="1" x="312"/>
        <item m="1" x="21"/>
        <item m="1" x="372"/>
        <item m="1" x="250"/>
        <item m="1" x="69"/>
        <item h="1" m="1" x="43"/>
        <item h="1" m="1" x="146"/>
        <item h="1" m="1" x="222"/>
        <item h="1" m="1" x="346"/>
        <item h="1" m="1" x="70"/>
        <item h="1" m="1" x="188"/>
        <item h="1" m="1" x="141"/>
        <item h="1" m="1" x="315"/>
        <item h="1" m="1" x="292"/>
        <item x="0"/>
        <item x="1"/>
        <item x="2"/>
        <item x="3"/>
        <item x="4"/>
        <item x="5"/>
        <item x="6"/>
        <item x="7"/>
        <item x="8"/>
        <item x="9"/>
        <item x="10"/>
        <item t="default"/>
      </items>
    </pivotField>
  </pivotFields>
  <rowFields count="1">
    <field x="1"/>
  </rowFields>
  <rowItems count="2">
    <i>
      <x v="3"/>
    </i>
    <i t="grand">
      <x/>
    </i>
  </rowItems>
  <colFields count="1">
    <field x="-2"/>
  </colFields>
  <colItems count="2">
    <i>
      <x/>
    </i>
    <i i="1">
      <x v="1"/>
    </i>
  </colItems>
  <pageFields count="2">
    <pageField fld="4" hier="-1"/>
    <pageField fld="6" hier="-1"/>
  </pageFields>
  <dataFields count="2">
    <dataField name="Sum of LOSSES" fld="4" baseField="0" baseItem="1" numFmtId="164"/>
    <dataField name="Sum of LOSSES2" fld="6" baseField="0" baseItem="1" numFmtId="164"/>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3.xml.rels><?xml version="1.0" encoding="UTF-8" standalone="yes"?>
<Relationships xmlns="http://schemas.openxmlformats.org/package/2006/relationships"><Relationship Id="rId1" Type="http://schemas.openxmlformats.org/officeDocument/2006/relationships/pivotTable" Target="../pivotTables/pivotTable2.xml"/></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17.xml.rels><?xml version="1.0" encoding="UTF-8" standalone="yes"?>
<Relationships xmlns="http://schemas.openxmlformats.org/package/2006/relationships"><Relationship Id="rId1" Type="http://schemas.openxmlformats.org/officeDocument/2006/relationships/pivotTable" Target="../pivotTables/pivotTable3.xml"/></Relationships>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2.bin"/></Relationships>
</file>

<file path=xl/worksheets/_rels/sheet21.xml.rels><?xml version="1.0" encoding="UTF-8" standalone="yes"?>
<Relationships xmlns="http://schemas.openxmlformats.org/package/2006/relationships"><Relationship Id="rId1" Type="http://schemas.openxmlformats.org/officeDocument/2006/relationships/pivotTable" Target="../pivotTables/pivotTable4.xml"/></Relationships>
</file>

<file path=xl/worksheets/_rels/sheet23.xml.rels><?xml version="1.0" encoding="UTF-8" standalone="yes"?>
<Relationships xmlns="http://schemas.openxmlformats.org/package/2006/relationships"><Relationship Id="rId2" Type="http://schemas.openxmlformats.org/officeDocument/2006/relationships/comments" Target="../comments4.xml"/><Relationship Id="rId1" Type="http://schemas.openxmlformats.org/officeDocument/2006/relationships/vmlDrawing" Target="../drawings/vmlDrawing4.vml"/></Relationships>
</file>

<file path=xl/worksheets/_rels/sheet24.xml.rels><?xml version="1.0" encoding="UTF-8" standalone="yes"?>
<Relationships xmlns="http://schemas.openxmlformats.org/package/2006/relationships"><Relationship Id="rId2" Type="http://schemas.openxmlformats.org/officeDocument/2006/relationships/pivotTable" Target="../pivotTables/pivotTable6.xml"/><Relationship Id="rId1" Type="http://schemas.openxmlformats.org/officeDocument/2006/relationships/pivotTable" Target="../pivotTables/pivotTable5.xml"/></Relationships>
</file>

<file path=xl/worksheets/_rels/sheet26.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1.xml"/><Relationship Id="rId1" Type="http://schemas.openxmlformats.org/officeDocument/2006/relationships/printerSettings" Target="../printerSettings/printerSettings7.bin"/><Relationship Id="rId4" Type="http://schemas.openxmlformats.org/officeDocument/2006/relationships/ctrlProp" Target="../ctrlProps/ctrlProp1.xml"/></Relationships>
</file>

<file path=xl/worksheets/_rels/sheet27.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6.vml"/><Relationship Id="rId1" Type="http://schemas.openxmlformats.org/officeDocument/2006/relationships/printerSettings" Target="../printerSettings/printerSettings8.bin"/></Relationships>
</file>

<file path=xl/worksheets/_rels/sheet3.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printerSettings" Target="../printerSettings/printerSettings4.bin"/><Relationship Id="rId1" Type="http://schemas.openxmlformats.org/officeDocument/2006/relationships/pivotTable" Target="../pivotTables/pivotTable1.xm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2" Type="http://schemas.openxmlformats.org/officeDocument/2006/relationships/comments" Target="../comments3.xml"/><Relationship Id="rId1"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200AF7-6DCD-41E6-AAF5-13D818DAA1FE}">
  <sheetPr codeName="Sheet1"/>
  <dimension ref="A1:O116"/>
  <sheetViews>
    <sheetView zoomScaleNormal="100" zoomScaleSheetLayoutView="115" workbookViewId="0">
      <selection activeCell="M34" sqref="M34"/>
    </sheetView>
  </sheetViews>
  <sheetFormatPr defaultRowHeight="11.15"/>
  <cols>
    <col min="2" max="4" width="15.5" customWidth="1"/>
    <col min="6" max="6" width="20.69921875" customWidth="1"/>
    <col min="8" max="10" width="15.5" customWidth="1"/>
    <col min="12" max="12" width="16" customWidth="1"/>
    <col min="13" max="13" width="15" customWidth="1"/>
    <col min="14" max="14" width="15.796875" customWidth="1"/>
    <col min="15" max="15" width="15.296875" customWidth="1"/>
  </cols>
  <sheetData>
    <row r="1" spans="1:13" ht="12.9">
      <c r="A1" s="588" t="s">
        <v>558</v>
      </c>
      <c r="B1" s="535"/>
      <c r="C1" s="429"/>
      <c r="D1" s="594" t="s">
        <v>559</v>
      </c>
      <c r="E1" s="410"/>
      <c r="G1" s="698" t="s">
        <v>558</v>
      </c>
      <c r="J1" s="321" t="s">
        <v>559</v>
      </c>
    </row>
    <row r="2" spans="1:13" ht="12.9">
      <c r="A2" s="588" t="s">
        <v>560</v>
      </c>
      <c r="B2" s="193"/>
      <c r="C2" s="193"/>
      <c r="D2" s="594" t="s">
        <v>561</v>
      </c>
      <c r="G2" s="698" t="s">
        <v>560</v>
      </c>
      <c r="J2" s="411" t="s">
        <v>561</v>
      </c>
    </row>
    <row r="3" spans="1:13" ht="14.15">
      <c r="B3" s="412"/>
      <c r="C3" s="412"/>
      <c r="D3" s="413"/>
      <c r="E3" s="412"/>
      <c r="F3" s="412"/>
      <c r="J3" s="413"/>
    </row>
    <row r="4" spans="1:13" ht="12.9">
      <c r="A4" s="598" t="s">
        <v>562</v>
      </c>
      <c r="B4" s="201"/>
      <c r="C4" s="201"/>
      <c r="D4" s="201"/>
      <c r="E4" s="91"/>
      <c r="F4" s="91"/>
      <c r="G4" s="598" t="s">
        <v>329</v>
      </c>
      <c r="H4" s="429"/>
      <c r="I4" s="429"/>
      <c r="J4" s="429"/>
    </row>
    <row r="5" spans="1:13" ht="12.9">
      <c r="A5" s="193"/>
      <c r="B5" s="201"/>
      <c r="C5" s="201"/>
      <c r="D5" s="201"/>
      <c r="E5" s="414"/>
      <c r="F5" s="414"/>
      <c r="G5" s="193"/>
      <c r="H5" s="193"/>
      <c r="I5" s="193"/>
      <c r="J5" s="193"/>
    </row>
    <row r="6" spans="1:13" ht="12.9">
      <c r="A6" s="222" t="s">
        <v>12</v>
      </c>
      <c r="B6" s="201"/>
      <c r="C6" s="201"/>
      <c r="D6" s="201"/>
      <c r="G6" s="222" t="s">
        <v>12</v>
      </c>
      <c r="H6" s="201"/>
      <c r="I6" s="201"/>
      <c r="J6" s="201"/>
    </row>
    <row r="7" spans="1:13" ht="12.9">
      <c r="A7" s="193"/>
      <c r="B7" s="534"/>
      <c r="C7" s="534"/>
      <c r="D7" s="193"/>
      <c r="E7" s="415"/>
      <c r="G7" s="193"/>
      <c r="H7" s="193"/>
      <c r="I7" s="193"/>
      <c r="J7" s="193"/>
      <c r="K7" s="91"/>
    </row>
    <row r="8" spans="1:13" ht="12.9">
      <c r="A8" s="193"/>
      <c r="B8" s="193"/>
      <c r="C8" s="193"/>
      <c r="D8" s="193"/>
      <c r="G8" s="283"/>
      <c r="H8" s="193"/>
      <c r="I8" s="283"/>
      <c r="J8" s="193"/>
      <c r="L8" s="416"/>
    </row>
    <row r="9" spans="1:13" ht="12.9">
      <c r="A9" s="193" t="s">
        <v>182</v>
      </c>
      <c r="B9" s="283" t="s">
        <v>18</v>
      </c>
      <c r="C9" s="283" t="s">
        <v>19</v>
      </c>
      <c r="D9" s="283" t="s">
        <v>20</v>
      </c>
      <c r="G9" s="283" t="s">
        <v>182</v>
      </c>
      <c r="H9" s="283" t="s">
        <v>18</v>
      </c>
      <c r="I9" s="283" t="s">
        <v>19</v>
      </c>
      <c r="J9" s="283" t="s">
        <v>20</v>
      </c>
    </row>
    <row r="10" spans="1:13" ht="12.9">
      <c r="A10" s="283" t="s">
        <v>26</v>
      </c>
      <c r="B10" s="283" t="s">
        <v>23</v>
      </c>
      <c r="C10" s="283" t="s">
        <v>24</v>
      </c>
      <c r="D10" s="283" t="s">
        <v>25</v>
      </c>
      <c r="G10" s="283" t="s">
        <v>26</v>
      </c>
      <c r="H10" s="283" t="s">
        <v>23</v>
      </c>
      <c r="I10" s="283" t="s">
        <v>24</v>
      </c>
      <c r="J10" s="283" t="s">
        <v>25</v>
      </c>
    </row>
    <row r="11" spans="1:13" ht="12.9">
      <c r="A11" s="283"/>
      <c r="B11" s="283"/>
      <c r="C11" s="283"/>
      <c r="D11" s="283"/>
      <c r="G11" s="193"/>
      <c r="H11" s="193"/>
      <c r="I11" s="193"/>
      <c r="J11" s="193"/>
    </row>
    <row r="12" spans="1:13" ht="12.9">
      <c r="A12" s="653">
        <v>1</v>
      </c>
      <c r="B12" s="699">
        <v>348952675</v>
      </c>
      <c r="C12" s="699">
        <v>59666573</v>
      </c>
      <c r="D12" s="699">
        <v>28011489</v>
      </c>
      <c r="F12" s="420"/>
      <c r="G12" s="653">
        <v>1</v>
      </c>
      <c r="H12" s="625">
        <v>97407513</v>
      </c>
      <c r="I12" s="625">
        <v>20359849</v>
      </c>
      <c r="J12" s="625">
        <v>2035985</v>
      </c>
      <c r="K12" s="416"/>
      <c r="L12" s="417" t="s">
        <v>330</v>
      </c>
      <c r="M12" s="418">
        <v>2023</v>
      </c>
    </row>
    <row r="13" spans="1:13" ht="12.9">
      <c r="A13" s="193">
        <v>0.99</v>
      </c>
      <c r="B13" s="199">
        <v>343705583</v>
      </c>
      <c r="C13" s="199">
        <v>58769388</v>
      </c>
      <c r="D13" s="199">
        <v>27590295</v>
      </c>
      <c r="F13" s="420"/>
      <c r="G13" s="653">
        <v>0.99</v>
      </c>
      <c r="H13" s="625">
        <v>95942827</v>
      </c>
      <c r="I13" s="625">
        <v>20053705</v>
      </c>
      <c r="J13" s="625">
        <v>2005371</v>
      </c>
      <c r="K13" s="416"/>
      <c r="L13" s="419"/>
      <c r="M13" s="416"/>
    </row>
    <row r="14" spans="1:13" ht="12.9">
      <c r="A14" s="653">
        <v>0.98</v>
      </c>
      <c r="B14" s="700">
        <v>338485052</v>
      </c>
      <c r="C14" s="700">
        <v>57876742</v>
      </c>
      <c r="D14" s="700">
        <v>27171221</v>
      </c>
      <c r="F14" s="420"/>
      <c r="G14" s="653">
        <v>0.98</v>
      </c>
      <c r="H14" s="625">
        <v>94485555</v>
      </c>
      <c r="I14" s="625">
        <v>19749110</v>
      </c>
      <c r="J14" s="625">
        <v>1974911</v>
      </c>
      <c r="K14" s="416"/>
      <c r="L14" s="417" t="s">
        <v>565</v>
      </c>
      <c r="M14" s="416"/>
    </row>
    <row r="15" spans="1:13" ht="12.9">
      <c r="A15" s="653">
        <v>0.97</v>
      </c>
      <c r="B15" s="700">
        <v>333291224</v>
      </c>
      <c r="C15" s="700">
        <v>56988662</v>
      </c>
      <c r="D15" s="700">
        <v>26754292</v>
      </c>
      <c r="F15" s="420"/>
      <c r="G15" s="653">
        <v>0.97</v>
      </c>
      <c r="H15" s="625">
        <v>93035737</v>
      </c>
      <c r="I15" s="625">
        <v>19446073</v>
      </c>
      <c r="J15" s="625">
        <v>1944607</v>
      </c>
      <c r="K15" s="416"/>
      <c r="L15" s="421"/>
      <c r="M15" s="416"/>
    </row>
    <row r="16" spans="1:13" ht="12.9">
      <c r="A16" s="653">
        <v>0.96</v>
      </c>
      <c r="B16" s="700">
        <v>328124232</v>
      </c>
      <c r="C16" s="700">
        <v>56105171</v>
      </c>
      <c r="D16" s="700">
        <v>26339524</v>
      </c>
      <c r="F16" s="420"/>
      <c r="G16" s="653">
        <v>0.96</v>
      </c>
      <c r="H16" s="625">
        <v>91593410</v>
      </c>
      <c r="I16" s="625">
        <v>19144602</v>
      </c>
      <c r="J16" s="625">
        <v>1914460</v>
      </c>
      <c r="K16" s="416"/>
      <c r="L16" s="421"/>
      <c r="M16" s="416"/>
    </row>
    <row r="17" spans="1:15" ht="12.9">
      <c r="A17" s="653">
        <v>0.95</v>
      </c>
      <c r="B17" s="700">
        <v>322984219</v>
      </c>
      <c r="C17" s="700">
        <v>55226292</v>
      </c>
      <c r="D17" s="700">
        <v>25926929</v>
      </c>
      <c r="F17" s="420"/>
      <c r="G17" s="653">
        <v>0.95</v>
      </c>
      <c r="H17" s="625">
        <v>90158614</v>
      </c>
      <c r="I17" s="625">
        <v>18844705</v>
      </c>
      <c r="J17" s="625">
        <v>1884471</v>
      </c>
      <c r="K17" s="416"/>
      <c r="L17" s="421"/>
      <c r="M17" s="422" t="s">
        <v>18</v>
      </c>
      <c r="N17" s="423" t="s">
        <v>19</v>
      </c>
      <c r="O17" s="423" t="s">
        <v>148</v>
      </c>
    </row>
    <row r="18" spans="1:15" ht="12.9">
      <c r="A18" s="653">
        <v>0.94</v>
      </c>
      <c r="B18" s="700">
        <v>317871324</v>
      </c>
      <c r="C18" s="700">
        <v>54352051</v>
      </c>
      <c r="D18" s="700">
        <v>25516494</v>
      </c>
      <c r="F18" s="420"/>
      <c r="G18" s="653">
        <v>0.94</v>
      </c>
      <c r="H18" s="625">
        <v>88731388</v>
      </c>
      <c r="I18" s="625">
        <v>18546390</v>
      </c>
      <c r="J18" s="625">
        <v>1854639</v>
      </c>
      <c r="K18" s="416"/>
      <c r="L18" s="421"/>
      <c r="M18" s="416"/>
    </row>
    <row r="19" spans="1:15" ht="12.9">
      <c r="A19" s="653">
        <v>0.93</v>
      </c>
      <c r="B19" s="700">
        <v>312785699</v>
      </c>
      <c r="C19" s="700">
        <v>53482471</v>
      </c>
      <c r="D19" s="700">
        <v>25108261</v>
      </c>
      <c r="F19" s="420"/>
      <c r="G19" s="653">
        <v>0.93</v>
      </c>
      <c r="H19" s="625">
        <v>87311774</v>
      </c>
      <c r="I19" s="625">
        <v>18249666</v>
      </c>
      <c r="J19" s="625">
        <v>1824967</v>
      </c>
      <c r="K19" s="416"/>
      <c r="L19" s="424" t="s">
        <v>331</v>
      </c>
      <c r="M19" s="581">
        <v>560815</v>
      </c>
      <c r="N19" s="581">
        <v>41027</v>
      </c>
      <c r="O19" s="582" t="s">
        <v>332</v>
      </c>
    </row>
    <row r="20" spans="1:15" ht="12.9">
      <c r="A20" s="653">
        <v>0.92</v>
      </c>
      <c r="B20" s="700">
        <v>307727483</v>
      </c>
      <c r="C20" s="700">
        <v>52617578</v>
      </c>
      <c r="D20" s="700">
        <v>24702215</v>
      </c>
      <c r="F20" s="420"/>
      <c r="G20" s="653">
        <v>0.92</v>
      </c>
      <c r="H20" s="625">
        <v>85899811</v>
      </c>
      <c r="I20" s="625">
        <v>17954541</v>
      </c>
      <c r="J20" s="625">
        <v>1795454</v>
      </c>
      <c r="K20" s="416"/>
      <c r="L20" s="421"/>
      <c r="M20" s="583"/>
      <c r="N20" s="288"/>
      <c r="O20" s="288"/>
    </row>
    <row r="21" spans="1:15" ht="12.9">
      <c r="A21" s="653">
        <v>0.91</v>
      </c>
      <c r="B21" s="700">
        <v>302696826</v>
      </c>
      <c r="C21" s="700">
        <v>51757400</v>
      </c>
      <c r="D21" s="700">
        <v>24298398</v>
      </c>
      <c r="F21" s="420"/>
      <c r="G21" s="653">
        <v>0.91</v>
      </c>
      <c r="H21" s="625">
        <v>84495541</v>
      </c>
      <c r="I21" s="625">
        <v>17661025</v>
      </c>
      <c r="J21" s="625">
        <v>1766103</v>
      </c>
      <c r="K21" s="416"/>
      <c r="L21" s="424" t="s">
        <v>333</v>
      </c>
      <c r="M21" s="581">
        <v>175</v>
      </c>
      <c r="N21" s="584">
        <v>500</v>
      </c>
      <c r="O21" s="582" t="s">
        <v>332</v>
      </c>
    </row>
    <row r="22" spans="1:15" ht="12.9">
      <c r="A22" s="653">
        <v>0.9</v>
      </c>
      <c r="B22" s="700">
        <v>297693886</v>
      </c>
      <c r="C22" s="700">
        <v>50901958</v>
      </c>
      <c r="D22" s="700">
        <v>23896796</v>
      </c>
      <c r="F22" s="420"/>
      <c r="G22" s="653">
        <v>0.9</v>
      </c>
      <c r="H22" s="625">
        <v>83099008</v>
      </c>
      <c r="I22" s="625">
        <v>17369125</v>
      </c>
      <c r="J22" s="625">
        <v>1736913</v>
      </c>
      <c r="K22" s="416"/>
      <c r="L22" s="421"/>
      <c r="M22" s="583"/>
      <c r="N22" s="288"/>
      <c r="O22" s="288"/>
    </row>
    <row r="23" spans="1:15" ht="12.9">
      <c r="A23" s="653">
        <v>0.89</v>
      </c>
      <c r="B23" s="700">
        <v>292718810</v>
      </c>
      <c r="C23" s="700">
        <v>50051284</v>
      </c>
      <c r="D23" s="700">
        <v>23497423</v>
      </c>
      <c r="F23" s="420"/>
      <c r="G23" s="653">
        <v>0.89</v>
      </c>
      <c r="H23" s="625">
        <v>81710253</v>
      </c>
      <c r="I23" s="625">
        <v>17078852</v>
      </c>
      <c r="J23" s="625">
        <v>1707885</v>
      </c>
      <c r="K23" s="416"/>
      <c r="L23" s="424" t="s">
        <v>334</v>
      </c>
      <c r="M23" s="581">
        <v>98142625</v>
      </c>
      <c r="N23" s="581">
        <v>20513500</v>
      </c>
      <c r="O23" s="581">
        <v>2051350</v>
      </c>
    </row>
    <row r="24" spans="1:15" ht="12.9">
      <c r="A24" s="653">
        <v>0.88</v>
      </c>
      <c r="B24" s="700">
        <v>287771763</v>
      </c>
      <c r="C24" s="700">
        <v>49205398</v>
      </c>
      <c r="D24" s="700">
        <v>23100307</v>
      </c>
      <c r="F24" s="420"/>
      <c r="G24" s="653">
        <v>0.88</v>
      </c>
      <c r="H24" s="625">
        <v>80329322</v>
      </c>
      <c r="I24" s="625">
        <v>16790213</v>
      </c>
      <c r="J24" s="625">
        <v>1679021</v>
      </c>
      <c r="K24" s="416"/>
      <c r="L24" s="421"/>
      <c r="M24" s="583"/>
      <c r="N24" s="288"/>
      <c r="O24" s="288"/>
    </row>
    <row r="25" spans="1:15" ht="12.9">
      <c r="A25" s="653">
        <v>0.87</v>
      </c>
      <c r="B25" s="700">
        <v>282852899</v>
      </c>
      <c r="C25" s="700">
        <v>48364334</v>
      </c>
      <c r="D25" s="700">
        <v>22705460</v>
      </c>
      <c r="F25" s="420"/>
      <c r="G25" s="653">
        <v>0.87</v>
      </c>
      <c r="H25" s="625">
        <v>78956258</v>
      </c>
      <c r="I25" s="625">
        <v>16503219</v>
      </c>
      <c r="J25" s="625">
        <v>1650322</v>
      </c>
      <c r="K25" s="416"/>
      <c r="L25" s="424" t="s">
        <v>335</v>
      </c>
      <c r="M25" s="585" t="s">
        <v>332</v>
      </c>
      <c r="N25" s="582" t="s">
        <v>332</v>
      </c>
      <c r="O25" s="584">
        <v>10</v>
      </c>
    </row>
    <row r="26" spans="1:15" ht="12.9">
      <c r="A26" s="653">
        <v>0.86</v>
      </c>
      <c r="B26" s="700">
        <v>277962382</v>
      </c>
      <c r="C26" s="700">
        <v>47528116</v>
      </c>
      <c r="D26" s="700">
        <v>22312884</v>
      </c>
      <c r="F26" s="420"/>
      <c r="G26" s="653">
        <v>0.86</v>
      </c>
      <c r="H26" s="625">
        <v>77591107</v>
      </c>
      <c r="I26" s="625">
        <v>16217879</v>
      </c>
      <c r="J26" s="625">
        <v>1621788</v>
      </c>
      <c r="K26" s="416"/>
      <c r="L26" s="421"/>
      <c r="M26" s="583"/>
      <c r="N26" s="288"/>
      <c r="O26" s="288"/>
    </row>
    <row r="27" spans="1:15" ht="12.9">
      <c r="A27" s="653">
        <v>0.85</v>
      </c>
      <c r="B27" s="700">
        <v>273100377</v>
      </c>
      <c r="C27" s="700">
        <v>46696772</v>
      </c>
      <c r="D27" s="700">
        <v>21922591</v>
      </c>
      <c r="F27" s="420"/>
      <c r="G27" s="653">
        <v>0.85</v>
      </c>
      <c r="H27" s="625">
        <v>76233915</v>
      </c>
      <c r="I27" s="625">
        <v>15934202</v>
      </c>
      <c r="J27" s="625">
        <v>1593420</v>
      </c>
      <c r="K27" s="416"/>
      <c r="L27" s="424" t="s">
        <v>336</v>
      </c>
      <c r="M27" s="586">
        <v>0.66669999999999996</v>
      </c>
      <c r="N27" s="586">
        <v>0.66669999999999996</v>
      </c>
      <c r="O27" s="582" t="s">
        <v>332</v>
      </c>
    </row>
    <row r="28" spans="1:15" ht="12.9">
      <c r="A28" s="653">
        <v>0.84</v>
      </c>
      <c r="B28" s="700">
        <v>268267050</v>
      </c>
      <c r="C28" s="700">
        <v>45870334</v>
      </c>
      <c r="D28" s="700">
        <v>21534610</v>
      </c>
      <c r="F28" s="420"/>
      <c r="G28" s="653">
        <v>0.84</v>
      </c>
      <c r="H28" s="625">
        <v>74884728</v>
      </c>
      <c r="I28" s="625">
        <v>15652199</v>
      </c>
      <c r="J28" s="625">
        <v>1565220</v>
      </c>
      <c r="K28" s="416"/>
      <c r="L28" s="416"/>
      <c r="M28" s="416"/>
    </row>
    <row r="29" spans="1:15" ht="12.9">
      <c r="A29" s="653">
        <v>0.83</v>
      </c>
      <c r="B29" s="700">
        <v>263462578</v>
      </c>
      <c r="C29" s="700">
        <v>45048829</v>
      </c>
      <c r="D29" s="700">
        <v>21148940</v>
      </c>
      <c r="F29" s="420"/>
      <c r="G29" s="653">
        <v>0.83</v>
      </c>
      <c r="H29" s="625">
        <v>73543596</v>
      </c>
      <c r="I29" s="625">
        <v>15371879</v>
      </c>
      <c r="J29" s="625">
        <v>1537188</v>
      </c>
      <c r="K29" s="416"/>
      <c r="L29" s="420" t="s">
        <v>337</v>
      </c>
      <c r="M29" s="416"/>
    </row>
    <row r="30" spans="1:15" ht="12.9">
      <c r="A30" s="653">
        <v>0.82</v>
      </c>
      <c r="B30" s="700">
        <v>258687132</v>
      </c>
      <c r="C30" s="700">
        <v>44232287</v>
      </c>
      <c r="D30" s="700">
        <v>20765595</v>
      </c>
      <c r="F30" s="420"/>
      <c r="G30" s="653">
        <v>0.82</v>
      </c>
      <c r="H30" s="625">
        <v>72210566</v>
      </c>
      <c r="I30" s="625">
        <v>15093253</v>
      </c>
      <c r="J30" s="625">
        <v>1509325</v>
      </c>
      <c r="K30" s="416"/>
      <c r="L30" s="416"/>
      <c r="M30" s="416"/>
    </row>
    <row r="31" spans="1:15" ht="12.9">
      <c r="A31" s="653">
        <v>0.81</v>
      </c>
      <c r="B31" s="700">
        <v>253940889</v>
      </c>
      <c r="C31" s="700">
        <v>43420740</v>
      </c>
      <c r="D31" s="700">
        <v>20384603</v>
      </c>
      <c r="F31" s="420"/>
      <c r="G31" s="653">
        <v>0.81</v>
      </c>
      <c r="H31" s="625">
        <v>70885688</v>
      </c>
      <c r="I31" s="625">
        <v>14816331</v>
      </c>
      <c r="J31" s="625">
        <v>1481633</v>
      </c>
      <c r="K31" s="416"/>
      <c r="L31" s="420" t="s">
        <v>338</v>
      </c>
      <c r="M31" s="416"/>
    </row>
    <row r="32" spans="1:15" ht="12.9">
      <c r="A32" s="653">
        <v>0.8</v>
      </c>
      <c r="B32" s="700">
        <v>249224029</v>
      </c>
      <c r="C32" s="700">
        <v>42614215</v>
      </c>
      <c r="D32" s="700">
        <v>20005964</v>
      </c>
      <c r="F32" s="420"/>
      <c r="G32" s="653">
        <v>0.8</v>
      </c>
      <c r="H32" s="625">
        <v>69569012</v>
      </c>
      <c r="I32" s="625">
        <v>14541123</v>
      </c>
      <c r="J32" s="625">
        <v>1454112</v>
      </c>
      <c r="K32" s="416"/>
      <c r="L32" s="416"/>
      <c r="M32" s="416"/>
    </row>
    <row r="33" spans="1:15" ht="12.9">
      <c r="A33" s="653">
        <v>0.79</v>
      </c>
      <c r="B33" s="700">
        <v>244536741</v>
      </c>
      <c r="C33" s="700">
        <v>41812746</v>
      </c>
      <c r="D33" s="700">
        <v>19629704</v>
      </c>
      <c r="F33" s="420"/>
      <c r="G33" s="653">
        <v>0.79</v>
      </c>
      <c r="H33" s="625">
        <v>68260591</v>
      </c>
      <c r="I33" s="625">
        <v>14267640</v>
      </c>
      <c r="J33" s="625">
        <v>1426764</v>
      </c>
      <c r="K33" s="416"/>
      <c r="L33" s="91" t="s">
        <v>339</v>
      </c>
    </row>
    <row r="34" spans="1:15" ht="12.9">
      <c r="A34" s="653">
        <v>0.78</v>
      </c>
      <c r="B34" s="700">
        <v>239879206</v>
      </c>
      <c r="C34" s="700">
        <v>41016367</v>
      </c>
      <c r="D34" s="700">
        <v>19255825</v>
      </c>
      <c r="F34" s="420"/>
      <c r="G34" s="653">
        <v>0.78</v>
      </c>
      <c r="H34" s="625">
        <v>66960475</v>
      </c>
      <c r="I34" s="625">
        <v>13995894</v>
      </c>
      <c r="J34" s="625">
        <v>1399589</v>
      </c>
      <c r="K34" s="416"/>
      <c r="M34" s="425">
        <f>PAYROLL!I32</f>
        <v>3.5823999999999998</v>
      </c>
      <c r="N34" s="425">
        <f>PAYROLL!J32</f>
        <v>2.9306000000000001</v>
      </c>
      <c r="O34" s="425">
        <f>PAYROLL!K32</f>
        <v>13.7582</v>
      </c>
    </row>
    <row r="35" spans="1:15" ht="12.9">
      <c r="A35" s="653">
        <v>0.77</v>
      </c>
      <c r="B35" s="700">
        <v>235251623</v>
      </c>
      <c r="C35" s="700">
        <v>40225108</v>
      </c>
      <c r="D35" s="700">
        <v>18884368</v>
      </c>
      <c r="F35" s="420"/>
      <c r="G35" s="653">
        <v>0.77</v>
      </c>
      <c r="H35" s="625">
        <v>65668720</v>
      </c>
      <c r="I35" s="625">
        <v>13725895</v>
      </c>
      <c r="J35" s="625">
        <v>1372590</v>
      </c>
      <c r="K35" s="416"/>
      <c r="L35" s="416"/>
      <c r="M35" s="416"/>
    </row>
    <row r="36" spans="1:15" ht="12.9">
      <c r="A36" s="653">
        <v>0.76</v>
      </c>
      <c r="B36" s="700">
        <v>230654182</v>
      </c>
      <c r="C36" s="700">
        <v>39439001</v>
      </c>
      <c r="D36" s="700">
        <v>18515304</v>
      </c>
      <c r="F36" s="420"/>
      <c r="G36" s="653">
        <v>0.76</v>
      </c>
      <c r="H36" s="625">
        <v>64385379</v>
      </c>
      <c r="I36" s="625">
        <v>13457654</v>
      </c>
      <c r="J36" s="625">
        <v>1345765</v>
      </c>
      <c r="K36" s="416"/>
      <c r="L36" s="416"/>
      <c r="M36" s="416"/>
    </row>
    <row r="37" spans="1:15" ht="12.9">
      <c r="A37" s="653">
        <v>0.75</v>
      </c>
      <c r="B37" s="700">
        <v>226087080</v>
      </c>
      <c r="C37" s="700">
        <v>38658084</v>
      </c>
      <c r="D37" s="700">
        <v>18148689</v>
      </c>
      <c r="F37" s="420"/>
      <c r="G37" s="653">
        <v>0.75</v>
      </c>
      <c r="H37" s="625">
        <v>63110507</v>
      </c>
      <c r="I37" s="625">
        <v>13191184</v>
      </c>
      <c r="J37" s="625">
        <v>1319118</v>
      </c>
      <c r="K37" s="416"/>
      <c r="L37" s="416"/>
      <c r="M37" s="416"/>
    </row>
    <row r="38" spans="1:15" ht="12.9">
      <c r="A38" s="653">
        <v>0.74</v>
      </c>
      <c r="B38" s="700">
        <v>221550526</v>
      </c>
      <c r="C38" s="700">
        <v>37882389</v>
      </c>
      <c r="D38" s="700">
        <v>17784537</v>
      </c>
      <c r="F38" s="420"/>
      <c r="G38" s="653">
        <v>0.74</v>
      </c>
      <c r="H38" s="625">
        <v>61844162</v>
      </c>
      <c r="I38" s="625">
        <v>12926496</v>
      </c>
      <c r="J38" s="625">
        <v>1292650</v>
      </c>
      <c r="K38" s="416"/>
      <c r="L38" s="416"/>
      <c r="M38" s="416"/>
    </row>
    <row r="39" spans="1:15" ht="12.9">
      <c r="A39" s="653">
        <v>0.73</v>
      </c>
      <c r="B39" s="700">
        <v>217044723</v>
      </c>
      <c r="C39" s="700">
        <v>37111952</v>
      </c>
      <c r="D39" s="700">
        <v>17422834</v>
      </c>
      <c r="F39" s="420"/>
      <c r="G39" s="653">
        <v>0.73</v>
      </c>
      <c r="H39" s="625">
        <v>60586401</v>
      </c>
      <c r="I39" s="625">
        <v>12663602</v>
      </c>
      <c r="J39" s="625">
        <v>1266360</v>
      </c>
      <c r="K39" s="416"/>
      <c r="L39" s="416"/>
      <c r="M39" s="416"/>
    </row>
    <row r="40" spans="1:15" ht="12.9">
      <c r="A40" s="653">
        <v>0.72</v>
      </c>
      <c r="B40" s="700">
        <v>212569886</v>
      </c>
      <c r="C40" s="700">
        <v>36346810</v>
      </c>
      <c r="D40" s="700">
        <v>17063635</v>
      </c>
      <c r="F40" s="420"/>
      <c r="G40" s="653">
        <v>0.72</v>
      </c>
      <c r="H40" s="625">
        <v>59337284</v>
      </c>
      <c r="I40" s="625">
        <v>12402515</v>
      </c>
      <c r="J40" s="625">
        <v>1240252</v>
      </c>
      <c r="K40" s="416"/>
      <c r="L40" s="416"/>
      <c r="M40" s="416"/>
    </row>
    <row r="41" spans="1:15" ht="12.9">
      <c r="A41" s="653">
        <v>0.71</v>
      </c>
      <c r="B41" s="700">
        <v>208126227</v>
      </c>
      <c r="C41" s="700">
        <v>35587000</v>
      </c>
      <c r="D41" s="700">
        <v>16706926</v>
      </c>
      <c r="F41" s="420"/>
      <c r="G41" s="653">
        <v>0.71</v>
      </c>
      <c r="H41" s="625">
        <v>58096870</v>
      </c>
      <c r="I41" s="625">
        <v>12143247</v>
      </c>
      <c r="J41" s="625">
        <v>1214325</v>
      </c>
      <c r="K41" s="416"/>
      <c r="L41" s="416"/>
      <c r="M41" s="416"/>
    </row>
    <row r="42" spans="1:15" ht="12.9">
      <c r="A42" s="653">
        <v>0.7</v>
      </c>
      <c r="B42" s="700">
        <v>203713968</v>
      </c>
      <c r="C42" s="700">
        <v>34832561</v>
      </c>
      <c r="D42" s="700">
        <v>16352735</v>
      </c>
      <c r="F42" s="420"/>
      <c r="G42" s="653">
        <v>0.7</v>
      </c>
      <c r="H42" s="625">
        <v>56865221</v>
      </c>
      <c r="I42" s="625">
        <v>11885812</v>
      </c>
      <c r="J42" s="625">
        <v>1188581</v>
      </c>
      <c r="K42" s="416"/>
      <c r="L42" s="416"/>
      <c r="M42" s="416"/>
    </row>
    <row r="43" spans="1:15" ht="12.9">
      <c r="A43" s="653">
        <v>0.69</v>
      </c>
      <c r="B43" s="700">
        <v>199333334</v>
      </c>
      <c r="C43" s="700">
        <v>34083526</v>
      </c>
      <c r="D43" s="700">
        <v>16001089</v>
      </c>
      <c r="F43" s="420"/>
      <c r="G43" s="653">
        <v>0.69</v>
      </c>
      <c r="H43" s="625">
        <v>55642400</v>
      </c>
      <c r="I43" s="625">
        <v>11630221</v>
      </c>
      <c r="J43" s="625">
        <v>1163022</v>
      </c>
      <c r="K43" s="416"/>
      <c r="L43" s="416"/>
      <c r="M43" s="416"/>
    </row>
    <row r="44" spans="1:15" ht="12.9">
      <c r="A44" s="653">
        <v>0.68</v>
      </c>
      <c r="B44" s="700">
        <v>194984555</v>
      </c>
      <c r="C44" s="700">
        <v>33339939</v>
      </c>
      <c r="D44" s="700">
        <v>15652002</v>
      </c>
      <c r="F44" s="420"/>
      <c r="G44" s="653">
        <v>0.68</v>
      </c>
      <c r="H44" s="625">
        <v>54428471</v>
      </c>
      <c r="I44" s="625">
        <v>11376489</v>
      </c>
      <c r="J44" s="625">
        <v>1137649</v>
      </c>
      <c r="K44" s="416"/>
      <c r="L44" s="416"/>
      <c r="M44" s="416"/>
    </row>
    <row r="45" spans="1:15" ht="12.9">
      <c r="A45" s="653">
        <v>0.67</v>
      </c>
      <c r="B45" s="700">
        <v>190667866</v>
      </c>
      <c r="C45" s="700">
        <v>32601838</v>
      </c>
      <c r="D45" s="700">
        <v>15305488</v>
      </c>
      <c r="F45" s="420"/>
      <c r="G45" s="653">
        <v>0.67</v>
      </c>
      <c r="H45" s="625">
        <v>53223500</v>
      </c>
      <c r="I45" s="625">
        <v>11124629</v>
      </c>
      <c r="J45" s="625">
        <v>1112463</v>
      </c>
      <c r="K45" s="416"/>
      <c r="L45" s="416"/>
      <c r="M45" s="416"/>
    </row>
    <row r="46" spans="1:15" ht="12.9">
      <c r="A46" s="653">
        <v>0.66</v>
      </c>
      <c r="B46" s="700">
        <v>186383509</v>
      </c>
      <c r="C46" s="700">
        <v>31869267</v>
      </c>
      <c r="D46" s="700">
        <v>14961575</v>
      </c>
      <c r="F46" s="420"/>
      <c r="G46" s="653">
        <v>0.66</v>
      </c>
      <c r="H46" s="625">
        <v>52027554</v>
      </c>
      <c r="I46" s="625">
        <v>10874656</v>
      </c>
      <c r="J46" s="625">
        <v>1087466</v>
      </c>
      <c r="K46" s="416"/>
      <c r="L46" s="416"/>
      <c r="M46" s="416"/>
    </row>
    <row r="47" spans="1:15" ht="12.9">
      <c r="A47" s="653">
        <v>0.65</v>
      </c>
      <c r="B47" s="700">
        <v>182131727</v>
      </c>
      <c r="C47" s="700">
        <v>31142264</v>
      </c>
      <c r="D47" s="700">
        <v>14620261</v>
      </c>
      <c r="F47" s="420"/>
      <c r="G47" s="653">
        <v>0.65</v>
      </c>
      <c r="H47" s="625">
        <v>50840701</v>
      </c>
      <c r="I47" s="625">
        <v>10626583</v>
      </c>
      <c r="J47" s="625">
        <v>1062658</v>
      </c>
      <c r="K47" s="416"/>
      <c r="L47" s="416"/>
      <c r="M47" s="416"/>
    </row>
    <row r="48" spans="1:15" ht="12.9">
      <c r="A48" s="653">
        <v>0.64</v>
      </c>
      <c r="B48" s="700">
        <v>177912774</v>
      </c>
      <c r="C48" s="700">
        <v>30420876</v>
      </c>
      <c r="D48" s="700">
        <v>14281603</v>
      </c>
      <c r="F48" s="420"/>
      <c r="G48" s="653">
        <v>0.64</v>
      </c>
      <c r="H48" s="625">
        <v>49663012</v>
      </c>
      <c r="I48" s="625">
        <v>10380426</v>
      </c>
      <c r="J48" s="625">
        <v>1038043</v>
      </c>
      <c r="K48" s="416"/>
      <c r="L48" s="416"/>
      <c r="M48" s="416"/>
    </row>
    <row r="49" spans="1:13" ht="12.9">
      <c r="A49" s="653">
        <v>0.63</v>
      </c>
      <c r="B49" s="700">
        <v>173726905</v>
      </c>
      <c r="C49" s="700">
        <v>29705145</v>
      </c>
      <c r="D49" s="700">
        <v>13945587</v>
      </c>
      <c r="F49" s="420"/>
      <c r="G49" s="653">
        <v>0.63</v>
      </c>
      <c r="H49" s="625">
        <v>48494558</v>
      </c>
      <c r="I49" s="625">
        <v>10136199</v>
      </c>
      <c r="J49" s="625">
        <v>1013620</v>
      </c>
      <c r="K49" s="416"/>
      <c r="L49" s="416"/>
      <c r="M49" s="416"/>
    </row>
    <row r="50" spans="1:13" ht="12.9">
      <c r="A50" s="653">
        <v>0.62</v>
      </c>
      <c r="B50" s="700">
        <v>169574387</v>
      </c>
      <c r="C50" s="700">
        <v>28995116</v>
      </c>
      <c r="D50" s="700">
        <v>13612253</v>
      </c>
      <c r="F50" s="420"/>
      <c r="G50" s="653">
        <v>0.62</v>
      </c>
      <c r="H50" s="625">
        <v>47335414</v>
      </c>
      <c r="I50" s="625">
        <v>9893918</v>
      </c>
      <c r="J50" s="625">
        <v>989392</v>
      </c>
      <c r="K50" s="416"/>
      <c r="L50" s="416"/>
      <c r="M50" s="416"/>
    </row>
    <row r="51" spans="1:13" ht="12.9">
      <c r="A51" s="653">
        <v>0.61</v>
      </c>
      <c r="B51" s="700">
        <v>165455490</v>
      </c>
      <c r="C51" s="700">
        <v>28290834</v>
      </c>
      <c r="D51" s="700">
        <v>13281616</v>
      </c>
      <c r="F51" s="420"/>
      <c r="G51" s="653">
        <v>0.61</v>
      </c>
      <c r="H51" s="625">
        <v>46185655</v>
      </c>
      <c r="I51" s="625">
        <v>9653598</v>
      </c>
      <c r="J51" s="625">
        <v>965360</v>
      </c>
      <c r="K51" s="416"/>
      <c r="L51" s="416"/>
      <c r="M51" s="416"/>
    </row>
    <row r="52" spans="1:13" ht="12.9">
      <c r="A52" s="653">
        <v>0.6</v>
      </c>
      <c r="B52" s="700">
        <v>161370487</v>
      </c>
      <c r="C52" s="700">
        <v>27592349</v>
      </c>
      <c r="D52" s="700">
        <v>12953703</v>
      </c>
      <c r="F52" s="420"/>
      <c r="G52" s="653">
        <v>0.6</v>
      </c>
      <c r="H52" s="625">
        <v>45045357</v>
      </c>
      <c r="I52" s="625">
        <v>9415256</v>
      </c>
      <c r="J52" s="625">
        <v>941526</v>
      </c>
      <c r="K52" s="416"/>
      <c r="L52" s="416"/>
      <c r="M52" s="416"/>
    </row>
    <row r="53" spans="1:13" ht="12.9">
      <c r="A53" s="653">
        <v>0.59</v>
      </c>
      <c r="B53" s="700">
        <v>157319667</v>
      </c>
      <c r="C53" s="700">
        <v>26899711</v>
      </c>
      <c r="D53" s="700">
        <v>12628528</v>
      </c>
      <c r="F53" s="420"/>
      <c r="G53" s="653">
        <v>0.59</v>
      </c>
      <c r="H53" s="625">
        <v>43914601</v>
      </c>
      <c r="I53" s="625">
        <v>9178909</v>
      </c>
      <c r="J53" s="625">
        <v>917891</v>
      </c>
      <c r="K53" s="416"/>
      <c r="L53" s="416"/>
      <c r="M53" s="416"/>
    </row>
    <row r="54" spans="1:13" ht="12.9">
      <c r="A54" s="653">
        <v>0.57999999999999996</v>
      </c>
      <c r="B54" s="700">
        <v>153303313</v>
      </c>
      <c r="C54" s="700">
        <v>26212963</v>
      </c>
      <c r="D54" s="700">
        <v>12306118</v>
      </c>
      <c r="F54" s="420"/>
      <c r="G54" s="653">
        <v>0.57999999999999996</v>
      </c>
      <c r="H54" s="625">
        <v>42793466</v>
      </c>
      <c r="I54" s="625">
        <v>8944572</v>
      </c>
      <c r="J54" s="625">
        <v>894457</v>
      </c>
      <c r="K54" s="416"/>
      <c r="L54" s="416"/>
      <c r="M54" s="416"/>
    </row>
    <row r="55" spans="1:13" ht="12.9">
      <c r="A55" s="653">
        <v>0.56999999999999995</v>
      </c>
      <c r="B55" s="700">
        <v>149321733</v>
      </c>
      <c r="C55" s="700">
        <v>25532164</v>
      </c>
      <c r="D55" s="700">
        <v>11986515</v>
      </c>
      <c r="F55" s="420"/>
      <c r="G55" s="653">
        <v>0.56999999999999995</v>
      </c>
      <c r="H55" s="625">
        <v>41682038</v>
      </c>
      <c r="I55" s="625">
        <v>8712265</v>
      </c>
      <c r="J55" s="625">
        <v>871227</v>
      </c>
      <c r="K55" s="416"/>
      <c r="L55" s="416"/>
      <c r="M55" s="416"/>
    </row>
    <row r="56" spans="1:13" ht="12.9">
      <c r="A56" s="653">
        <v>0.56000000000000005</v>
      </c>
      <c r="B56" s="700">
        <v>145375225</v>
      </c>
      <c r="C56" s="700">
        <v>24857358</v>
      </c>
      <c r="D56" s="700">
        <v>11669705</v>
      </c>
      <c r="F56" s="420"/>
      <c r="G56" s="653">
        <v>0.56000000000000005</v>
      </c>
      <c r="H56" s="625">
        <v>40580400</v>
      </c>
      <c r="I56" s="625">
        <v>8482003</v>
      </c>
      <c r="J56" s="625">
        <v>848200</v>
      </c>
      <c r="K56" s="416"/>
      <c r="L56" s="416"/>
      <c r="M56" s="416"/>
    </row>
    <row r="57" spans="1:13" ht="12.9">
      <c r="A57" s="653">
        <v>0.55000000000000004</v>
      </c>
      <c r="B57" s="700">
        <v>141464111</v>
      </c>
      <c r="C57" s="700">
        <v>24188607</v>
      </c>
      <c r="D57" s="700">
        <v>11355757</v>
      </c>
      <c r="F57" s="420"/>
      <c r="G57" s="653">
        <v>0.55000000000000004</v>
      </c>
      <c r="H57" s="625">
        <v>39488642</v>
      </c>
      <c r="I57" s="625">
        <v>8253807</v>
      </c>
      <c r="J57" s="625">
        <v>825381</v>
      </c>
      <c r="K57" s="416"/>
      <c r="L57" s="416"/>
      <c r="M57" s="416"/>
    </row>
    <row r="58" spans="1:13" ht="12.9">
      <c r="A58" s="653">
        <v>0.54</v>
      </c>
      <c r="B58" s="700">
        <v>137588710</v>
      </c>
      <c r="C58" s="700">
        <v>23525963</v>
      </c>
      <c r="D58" s="700">
        <v>11044670</v>
      </c>
      <c r="F58" s="420"/>
      <c r="G58" s="653">
        <v>0.54</v>
      </c>
      <c r="H58" s="625">
        <v>38406853</v>
      </c>
      <c r="I58" s="625">
        <v>8027695</v>
      </c>
      <c r="J58" s="625">
        <v>802770</v>
      </c>
      <c r="K58" s="416"/>
      <c r="L58" s="416"/>
      <c r="M58" s="416"/>
    </row>
    <row r="59" spans="1:13" ht="12.9">
      <c r="A59" s="653">
        <v>0.53</v>
      </c>
      <c r="B59" s="700">
        <v>133749355</v>
      </c>
      <c r="C59" s="700">
        <v>22869479</v>
      </c>
      <c r="D59" s="700">
        <v>10736473</v>
      </c>
      <c r="F59" s="420"/>
      <c r="G59" s="653">
        <v>0.53</v>
      </c>
      <c r="H59" s="625">
        <v>37335126</v>
      </c>
      <c r="I59" s="625">
        <v>7803685</v>
      </c>
      <c r="J59" s="625">
        <v>780369</v>
      </c>
      <c r="K59" s="416"/>
      <c r="L59" s="416"/>
      <c r="M59" s="416"/>
    </row>
    <row r="60" spans="1:13" ht="12.9">
      <c r="A60" s="653">
        <v>0.52</v>
      </c>
      <c r="B60" s="700">
        <v>129946387</v>
      </c>
      <c r="C60" s="700">
        <v>22219220</v>
      </c>
      <c r="D60" s="700">
        <v>10431192</v>
      </c>
      <c r="F60" s="420"/>
      <c r="G60" s="653">
        <v>0.52</v>
      </c>
      <c r="H60" s="625">
        <v>36273556</v>
      </c>
      <c r="I60" s="625">
        <v>7581799</v>
      </c>
      <c r="J60" s="625">
        <v>758180</v>
      </c>
      <c r="K60" s="416"/>
      <c r="L60" s="416"/>
      <c r="M60" s="416"/>
    </row>
    <row r="61" spans="1:13" ht="12.9">
      <c r="A61" s="653">
        <v>0.51</v>
      </c>
      <c r="B61" s="700">
        <v>126180160</v>
      </c>
      <c r="C61" s="700">
        <v>21575241</v>
      </c>
      <c r="D61" s="700">
        <v>10128869</v>
      </c>
      <c r="F61" s="420"/>
      <c r="G61" s="653">
        <v>0.51</v>
      </c>
      <c r="H61" s="625">
        <v>35222242</v>
      </c>
      <c r="I61" s="625">
        <v>7362056</v>
      </c>
      <c r="J61" s="625">
        <v>736206</v>
      </c>
      <c r="K61" s="416"/>
      <c r="L61" s="416"/>
      <c r="M61" s="416"/>
    </row>
    <row r="62" spans="1:13" ht="12.9">
      <c r="A62" s="653">
        <v>0.5</v>
      </c>
      <c r="B62" s="700">
        <v>122451032</v>
      </c>
      <c r="C62" s="700">
        <v>20937607</v>
      </c>
      <c r="D62" s="700">
        <v>9829518</v>
      </c>
      <c r="F62" s="420"/>
      <c r="G62" s="653">
        <v>0.5</v>
      </c>
      <c r="H62" s="625">
        <v>34181284</v>
      </c>
      <c r="I62" s="625">
        <v>7144478</v>
      </c>
      <c r="J62" s="625">
        <v>714448</v>
      </c>
      <c r="K62" s="416"/>
      <c r="L62" s="416"/>
      <c r="M62" s="416"/>
    </row>
    <row r="63" spans="1:13" ht="12.9">
      <c r="A63" s="653">
        <v>0.49</v>
      </c>
      <c r="B63" s="700">
        <v>118759383</v>
      </c>
      <c r="C63" s="700">
        <v>20306379</v>
      </c>
      <c r="D63" s="700">
        <v>9533181</v>
      </c>
      <c r="F63" s="420"/>
      <c r="G63" s="653">
        <v>0.49</v>
      </c>
      <c r="H63" s="625">
        <v>33150788</v>
      </c>
      <c r="I63" s="625">
        <v>6929086</v>
      </c>
      <c r="J63" s="625">
        <v>692909</v>
      </c>
      <c r="K63" s="416"/>
      <c r="L63" s="416"/>
      <c r="M63" s="416"/>
    </row>
    <row r="64" spans="1:13" ht="12.9">
      <c r="A64" s="653">
        <v>0.48</v>
      </c>
      <c r="B64" s="700">
        <v>115105589</v>
      </c>
      <c r="C64" s="700">
        <v>19681628</v>
      </c>
      <c r="D64" s="700">
        <v>9239870</v>
      </c>
      <c r="F64" s="420"/>
      <c r="G64" s="653">
        <v>0.48</v>
      </c>
      <c r="H64" s="625">
        <v>32130859</v>
      </c>
      <c r="I64" s="625">
        <v>6715904</v>
      </c>
      <c r="J64" s="625">
        <v>671590</v>
      </c>
      <c r="K64" s="416"/>
      <c r="L64" s="416"/>
      <c r="M64" s="416"/>
    </row>
    <row r="65" spans="1:13" ht="12.9">
      <c r="A65" s="653">
        <v>0.47</v>
      </c>
      <c r="B65" s="700">
        <v>111490052</v>
      </c>
      <c r="C65" s="700">
        <v>19063415</v>
      </c>
      <c r="D65" s="700">
        <v>8949640</v>
      </c>
      <c r="F65" s="420"/>
      <c r="G65" s="653">
        <v>0.47</v>
      </c>
      <c r="H65" s="625">
        <v>31121609</v>
      </c>
      <c r="I65" s="625">
        <v>6504953</v>
      </c>
      <c r="J65" s="625">
        <v>650495</v>
      </c>
      <c r="K65" s="416"/>
      <c r="L65" s="416"/>
      <c r="M65" s="416"/>
    </row>
    <row r="66" spans="1:13" ht="12.9">
      <c r="A66" s="653">
        <v>0.46</v>
      </c>
      <c r="B66" s="700">
        <v>107913180</v>
      </c>
      <c r="C66" s="700">
        <v>18451814</v>
      </c>
      <c r="D66" s="700">
        <v>8662520</v>
      </c>
      <c r="F66" s="420"/>
      <c r="G66" s="653">
        <v>0.46</v>
      </c>
      <c r="H66" s="625">
        <v>30123152</v>
      </c>
      <c r="I66" s="625">
        <v>6296258</v>
      </c>
      <c r="J66" s="625">
        <v>629626</v>
      </c>
      <c r="K66" s="416"/>
      <c r="L66" s="416"/>
      <c r="M66" s="416"/>
    </row>
    <row r="67" spans="1:13" ht="12.9">
      <c r="A67" s="653">
        <v>0.45</v>
      </c>
      <c r="B67" s="700">
        <v>104375399</v>
      </c>
      <c r="C67" s="700">
        <v>17846897</v>
      </c>
      <c r="D67" s="700">
        <v>8378524</v>
      </c>
      <c r="F67" s="420"/>
      <c r="G67" s="653">
        <v>0.45</v>
      </c>
      <c r="H67" s="625">
        <v>29135607</v>
      </c>
      <c r="I67" s="625">
        <v>6089844</v>
      </c>
      <c r="J67" s="625">
        <v>608984</v>
      </c>
      <c r="K67" s="416"/>
      <c r="L67" s="416"/>
      <c r="M67" s="416"/>
    </row>
    <row r="68" spans="1:13" ht="12.9">
      <c r="A68" s="653">
        <v>0.44</v>
      </c>
      <c r="B68" s="700">
        <v>100877138</v>
      </c>
      <c r="C68" s="700">
        <v>17248738</v>
      </c>
      <c r="D68" s="700">
        <v>8097719</v>
      </c>
      <c r="F68" s="420"/>
      <c r="G68" s="653">
        <v>0.44</v>
      </c>
      <c r="H68" s="625">
        <v>28159094</v>
      </c>
      <c r="I68" s="625">
        <v>5885736</v>
      </c>
      <c r="J68" s="625">
        <v>588574</v>
      </c>
      <c r="K68" s="416"/>
      <c r="L68" s="416"/>
      <c r="M68" s="416"/>
    </row>
    <row r="69" spans="1:13" ht="12.9">
      <c r="A69" s="653">
        <v>0.43</v>
      </c>
      <c r="B69" s="700">
        <v>97418854</v>
      </c>
      <c r="C69" s="700">
        <v>16657416</v>
      </c>
      <c r="D69" s="700">
        <v>7820106</v>
      </c>
      <c r="F69" s="420"/>
      <c r="G69" s="653">
        <v>0.43</v>
      </c>
      <c r="H69" s="625">
        <v>27193740</v>
      </c>
      <c r="I69" s="625">
        <v>5683961</v>
      </c>
      <c r="J69" s="625">
        <v>568396</v>
      </c>
      <c r="K69" s="416"/>
      <c r="L69" s="416"/>
      <c r="M69" s="416"/>
    </row>
    <row r="70" spans="1:13" ht="12.9">
      <c r="A70" s="653">
        <v>0.42</v>
      </c>
      <c r="B70" s="700">
        <v>94001015</v>
      </c>
      <c r="C70" s="700">
        <v>16073008</v>
      </c>
      <c r="D70" s="700">
        <v>7545754</v>
      </c>
      <c r="F70" s="420"/>
      <c r="G70" s="653">
        <v>0.42</v>
      </c>
      <c r="H70" s="625">
        <v>26239676</v>
      </c>
      <c r="I70" s="625">
        <v>5484545</v>
      </c>
      <c r="J70" s="625">
        <v>548455</v>
      </c>
      <c r="K70" s="416"/>
      <c r="L70" s="416"/>
      <c r="M70" s="416"/>
    </row>
    <row r="71" spans="1:13" ht="12.9">
      <c r="A71" s="653">
        <v>0.41</v>
      </c>
      <c r="B71" s="700">
        <v>90624105</v>
      </c>
      <c r="C71" s="700">
        <v>15495597</v>
      </c>
      <c r="D71" s="700">
        <v>7274676</v>
      </c>
      <c r="F71" s="420"/>
      <c r="G71" s="653">
        <v>0.41</v>
      </c>
      <c r="H71" s="625">
        <v>25297037</v>
      </c>
      <c r="I71" s="625">
        <v>5287517</v>
      </c>
      <c r="J71" s="625">
        <v>528752</v>
      </c>
      <c r="K71" s="416"/>
      <c r="L71" s="416"/>
      <c r="M71" s="416"/>
    </row>
    <row r="72" spans="1:13" ht="12.9">
      <c r="A72" s="653">
        <v>0.4</v>
      </c>
      <c r="B72" s="700">
        <v>87288626</v>
      </c>
      <c r="C72" s="700">
        <v>14925273</v>
      </c>
      <c r="D72" s="700">
        <v>7006927</v>
      </c>
      <c r="F72" s="420"/>
      <c r="G72" s="653">
        <v>0.4</v>
      </c>
      <c r="H72" s="625">
        <v>24365963</v>
      </c>
      <c r="I72" s="625">
        <v>5092907</v>
      </c>
      <c r="J72" s="625">
        <v>509291</v>
      </c>
      <c r="K72" s="416"/>
      <c r="L72" s="416"/>
      <c r="M72" s="416"/>
    </row>
    <row r="73" spans="1:13" ht="12.9">
      <c r="A73" s="653">
        <v>0.39</v>
      </c>
      <c r="B73" s="700">
        <v>83995096</v>
      </c>
      <c r="C73" s="700">
        <v>14362120</v>
      </c>
      <c r="D73" s="700">
        <v>6742536</v>
      </c>
      <c r="F73" s="420"/>
      <c r="G73" s="653">
        <v>0.39</v>
      </c>
      <c r="H73" s="625">
        <v>23446599</v>
      </c>
      <c r="I73" s="625">
        <v>4900744</v>
      </c>
      <c r="J73" s="625">
        <v>490074</v>
      </c>
      <c r="K73" s="416"/>
      <c r="L73" s="416"/>
      <c r="M73" s="416"/>
    </row>
    <row r="74" spans="1:13" ht="12.9">
      <c r="A74" s="653">
        <v>0.38</v>
      </c>
      <c r="B74" s="700">
        <v>80744065</v>
      </c>
      <c r="C74" s="700">
        <v>13806232</v>
      </c>
      <c r="D74" s="700">
        <v>6481571</v>
      </c>
      <c r="F74" s="420"/>
      <c r="G74" s="653">
        <v>0.38</v>
      </c>
      <c r="H74" s="625">
        <v>22539098</v>
      </c>
      <c r="I74" s="625">
        <v>4711060</v>
      </c>
      <c r="J74" s="625">
        <v>471106</v>
      </c>
      <c r="K74" s="416"/>
      <c r="L74" s="416"/>
      <c r="M74" s="416"/>
    </row>
    <row r="75" spans="1:13" ht="12.9">
      <c r="A75" s="653">
        <v>0.37</v>
      </c>
      <c r="B75" s="700">
        <v>77536086</v>
      </c>
      <c r="C75" s="700">
        <v>13257709</v>
      </c>
      <c r="D75" s="700">
        <v>6224058</v>
      </c>
      <c r="F75" s="420"/>
      <c r="G75" s="653">
        <v>0.37</v>
      </c>
      <c r="H75" s="625">
        <v>21643615</v>
      </c>
      <c r="I75" s="625">
        <v>4523889</v>
      </c>
      <c r="J75" s="625">
        <v>452389</v>
      </c>
      <c r="K75" s="416"/>
      <c r="L75" s="416"/>
      <c r="M75" s="416"/>
    </row>
    <row r="76" spans="1:13" ht="12.9">
      <c r="A76" s="653">
        <v>0.36</v>
      </c>
      <c r="B76" s="700">
        <v>74371752</v>
      </c>
      <c r="C76" s="700">
        <v>12716647</v>
      </c>
      <c r="D76" s="700">
        <v>5970041</v>
      </c>
      <c r="F76" s="420"/>
      <c r="G76" s="653">
        <v>0.36</v>
      </c>
      <c r="H76" s="625">
        <v>20760315</v>
      </c>
      <c r="I76" s="625">
        <v>4339264</v>
      </c>
      <c r="J76" s="625">
        <v>433926</v>
      </c>
      <c r="K76" s="416"/>
      <c r="L76" s="416"/>
      <c r="M76" s="416"/>
    </row>
    <row r="77" spans="1:13" ht="12.9">
      <c r="A77" s="653">
        <v>0.35</v>
      </c>
      <c r="B77" s="700">
        <v>71251672</v>
      </c>
      <c r="C77" s="700">
        <v>12183152</v>
      </c>
      <c r="D77" s="700">
        <v>5719586</v>
      </c>
      <c r="F77" s="420"/>
      <c r="G77" s="653">
        <v>0.35</v>
      </c>
      <c r="H77" s="625">
        <v>19889368</v>
      </c>
      <c r="I77" s="625">
        <v>4157221</v>
      </c>
      <c r="J77" s="625">
        <v>415722</v>
      </c>
      <c r="K77" s="416"/>
      <c r="L77" s="416"/>
      <c r="M77" s="416"/>
    </row>
    <row r="78" spans="1:13" ht="12.9">
      <c r="A78" s="653">
        <v>0.34</v>
      </c>
      <c r="B78" s="700">
        <v>68176482</v>
      </c>
      <c r="C78" s="700">
        <v>11657332</v>
      </c>
      <c r="D78" s="700">
        <v>5472737</v>
      </c>
      <c r="F78" s="420"/>
      <c r="G78" s="653">
        <v>0.34</v>
      </c>
      <c r="H78" s="625">
        <v>19030952</v>
      </c>
      <c r="I78" s="625">
        <v>3977797</v>
      </c>
      <c r="J78" s="625">
        <v>397780</v>
      </c>
      <c r="K78" s="416"/>
      <c r="L78" s="416"/>
      <c r="M78" s="416"/>
    </row>
    <row r="79" spans="1:13" ht="12.9">
      <c r="A79" s="653">
        <v>0.33</v>
      </c>
      <c r="B79" s="700">
        <v>65146847</v>
      </c>
      <c r="C79" s="700">
        <v>11139304</v>
      </c>
      <c r="D79" s="700">
        <v>5229533</v>
      </c>
      <c r="F79" s="420"/>
      <c r="G79" s="653">
        <v>0.33</v>
      </c>
      <c r="H79" s="625">
        <v>18185252</v>
      </c>
      <c r="I79" s="625">
        <v>3801032</v>
      </c>
      <c r="J79" s="625">
        <v>380103</v>
      </c>
      <c r="K79" s="416"/>
      <c r="L79" s="416"/>
      <c r="M79" s="416"/>
    </row>
    <row r="80" spans="1:13" ht="12.9">
      <c r="A80" s="653">
        <v>0.32</v>
      </c>
      <c r="B80" s="700">
        <v>62163463</v>
      </c>
      <c r="C80" s="700">
        <v>10629181</v>
      </c>
      <c r="D80" s="700">
        <v>4990044</v>
      </c>
      <c r="F80" s="420"/>
      <c r="G80" s="653">
        <v>0.32</v>
      </c>
      <c r="H80" s="625">
        <v>17352463</v>
      </c>
      <c r="I80" s="625">
        <v>3626964</v>
      </c>
      <c r="J80" s="625">
        <v>362696</v>
      </c>
      <c r="K80" s="416"/>
      <c r="L80" s="416"/>
      <c r="M80" s="416"/>
    </row>
    <row r="81" spans="1:13" ht="12.9">
      <c r="A81" s="653">
        <v>0.31</v>
      </c>
      <c r="B81" s="700">
        <v>59227063</v>
      </c>
      <c r="C81" s="700">
        <v>10127093</v>
      </c>
      <c r="D81" s="700">
        <v>4754339</v>
      </c>
      <c r="F81" s="420"/>
      <c r="G81" s="653">
        <v>0.31</v>
      </c>
      <c r="H81" s="625">
        <v>16532789</v>
      </c>
      <c r="I81" s="625">
        <v>3455638</v>
      </c>
      <c r="J81" s="625">
        <v>345564</v>
      </c>
      <c r="K81" s="416"/>
      <c r="L81" s="416"/>
      <c r="M81" s="416"/>
    </row>
    <row r="82" spans="1:13" ht="12.9">
      <c r="A82" s="653">
        <v>0.3</v>
      </c>
      <c r="B82" s="700">
        <v>56338406</v>
      </c>
      <c r="C82" s="700">
        <v>9633169</v>
      </c>
      <c r="D82" s="700">
        <v>4522458</v>
      </c>
      <c r="F82" s="420"/>
      <c r="G82" s="653">
        <v>0.3</v>
      </c>
      <c r="H82" s="625">
        <v>15726442</v>
      </c>
      <c r="I82" s="625">
        <v>3287098</v>
      </c>
      <c r="J82" s="625">
        <v>328710</v>
      </c>
      <c r="K82" s="416"/>
      <c r="L82" s="416"/>
      <c r="M82" s="416"/>
    </row>
    <row r="83" spans="1:13" ht="12.9">
      <c r="A83" s="653">
        <v>0.28999999999999998</v>
      </c>
      <c r="B83" s="700">
        <v>53498293</v>
      </c>
      <c r="C83" s="700">
        <v>9147546</v>
      </c>
      <c r="D83" s="700">
        <v>4294471</v>
      </c>
      <c r="F83" s="420"/>
      <c r="G83" s="653">
        <v>0.28999999999999998</v>
      </c>
      <c r="H83" s="625">
        <v>14933646</v>
      </c>
      <c r="I83" s="625">
        <v>3121390</v>
      </c>
      <c r="J83" s="625">
        <v>312139</v>
      </c>
      <c r="K83" s="416"/>
      <c r="L83" s="416"/>
      <c r="M83" s="416"/>
    </row>
    <row r="84" spans="1:13" ht="12.9">
      <c r="A84" s="653">
        <v>0.28000000000000003</v>
      </c>
      <c r="B84" s="700">
        <v>50707575</v>
      </c>
      <c r="C84" s="700">
        <v>8670368</v>
      </c>
      <c r="D84" s="700">
        <v>4070446</v>
      </c>
      <c r="F84" s="420"/>
      <c r="G84" s="653">
        <v>0.28000000000000003</v>
      </c>
      <c r="H84" s="625">
        <v>14154638</v>
      </c>
      <c r="I84" s="625">
        <v>2958564</v>
      </c>
      <c r="J84" s="625">
        <v>295856</v>
      </c>
      <c r="K84" s="416"/>
      <c r="L84" s="416"/>
      <c r="M84" s="416"/>
    </row>
    <row r="85" spans="1:13" ht="12.9">
      <c r="A85" s="653">
        <v>0.27</v>
      </c>
      <c r="B85" s="700">
        <v>47967139</v>
      </c>
      <c r="C85" s="700">
        <v>8201785</v>
      </c>
      <c r="D85" s="700">
        <v>3850466</v>
      </c>
      <c r="F85" s="420"/>
      <c r="G85" s="653">
        <v>0.27</v>
      </c>
      <c r="H85" s="625">
        <v>13389666</v>
      </c>
      <c r="I85" s="625">
        <v>2798671</v>
      </c>
      <c r="J85" s="625">
        <v>279867</v>
      </c>
      <c r="K85" s="416"/>
      <c r="L85" s="416"/>
      <c r="M85" s="416"/>
    </row>
    <row r="86" spans="1:13" ht="12.9">
      <c r="A86" s="653">
        <v>0.26</v>
      </c>
      <c r="B86" s="700">
        <v>45277929</v>
      </c>
      <c r="C86" s="700">
        <v>7741965</v>
      </c>
      <c r="D86" s="700">
        <v>3634600</v>
      </c>
      <c r="F86" s="420"/>
      <c r="G86" s="653">
        <v>0.26</v>
      </c>
      <c r="H86" s="625">
        <v>12638993</v>
      </c>
      <c r="I86" s="625">
        <v>2641768</v>
      </c>
      <c r="J86" s="625">
        <v>264177</v>
      </c>
      <c r="K86" s="416"/>
      <c r="L86" s="416"/>
      <c r="M86" s="416"/>
    </row>
    <row r="87" spans="1:13" ht="12.9">
      <c r="A87" s="653">
        <v>0.25</v>
      </c>
      <c r="B87" s="700">
        <v>42640935</v>
      </c>
      <c r="C87" s="700">
        <v>7291072</v>
      </c>
      <c r="D87" s="700">
        <v>3422916</v>
      </c>
      <c r="F87" s="420"/>
      <c r="G87" s="653">
        <v>0.25</v>
      </c>
      <c r="H87" s="625">
        <v>11902896</v>
      </c>
      <c r="I87" s="625">
        <v>2487911</v>
      </c>
      <c r="J87" s="625">
        <v>248791</v>
      </c>
      <c r="K87" s="416"/>
      <c r="L87" s="416"/>
      <c r="M87" s="416"/>
    </row>
    <row r="88" spans="1:13" ht="12.9">
      <c r="A88" s="653">
        <v>0.24</v>
      </c>
      <c r="B88" s="700">
        <v>40057211</v>
      </c>
      <c r="C88" s="700">
        <v>6849287</v>
      </c>
      <c r="D88" s="700">
        <v>3215511</v>
      </c>
      <c r="F88" s="420"/>
      <c r="G88" s="653">
        <v>0.24</v>
      </c>
      <c r="H88" s="625">
        <v>11181669</v>
      </c>
      <c r="I88" s="625">
        <v>2337162</v>
      </c>
      <c r="J88" s="625">
        <v>233716</v>
      </c>
      <c r="K88" s="416"/>
      <c r="L88" s="416"/>
      <c r="M88" s="416"/>
    </row>
    <row r="89" spans="1:13" ht="12.9">
      <c r="A89" s="653">
        <v>0.23</v>
      </c>
      <c r="B89" s="700">
        <v>37527890</v>
      </c>
      <c r="C89" s="700">
        <v>6416804</v>
      </c>
      <c r="D89" s="700">
        <v>3012482</v>
      </c>
      <c r="F89" s="420"/>
      <c r="G89" s="653">
        <v>0.23</v>
      </c>
      <c r="H89" s="625">
        <v>10475628</v>
      </c>
      <c r="I89" s="625">
        <v>2189587</v>
      </c>
      <c r="J89" s="625">
        <v>218959</v>
      </c>
      <c r="K89" s="416"/>
      <c r="L89" s="416"/>
      <c r="M89" s="416"/>
    </row>
    <row r="90" spans="1:13" ht="12.9">
      <c r="A90" s="653">
        <v>0.22</v>
      </c>
      <c r="B90" s="700">
        <v>35054157</v>
      </c>
      <c r="C90" s="700">
        <v>5993827</v>
      </c>
      <c r="D90" s="700">
        <v>2813910</v>
      </c>
      <c r="F90" s="420"/>
      <c r="G90" s="653">
        <v>0.22</v>
      </c>
      <c r="H90" s="625">
        <v>9785104</v>
      </c>
      <c r="I90" s="625">
        <v>2045256</v>
      </c>
      <c r="J90" s="625">
        <v>204526</v>
      </c>
      <c r="K90" s="416"/>
      <c r="L90" s="416"/>
      <c r="M90" s="416"/>
    </row>
    <row r="91" spans="1:13" ht="12.9">
      <c r="A91" s="653">
        <v>0.21</v>
      </c>
      <c r="B91" s="700">
        <v>32637298</v>
      </c>
      <c r="C91" s="700">
        <v>5580575</v>
      </c>
      <c r="D91" s="700">
        <v>2619891</v>
      </c>
      <c r="F91" s="420"/>
      <c r="G91" s="653">
        <v>0.21</v>
      </c>
      <c r="H91" s="625">
        <v>9110456</v>
      </c>
      <c r="I91" s="625">
        <v>1904243</v>
      </c>
      <c r="J91" s="625">
        <v>190424</v>
      </c>
      <c r="K91" s="416"/>
      <c r="L91" s="416"/>
      <c r="M91" s="416"/>
    </row>
    <row r="92" spans="1:13" ht="12.9">
      <c r="A92" s="653">
        <v>0.2</v>
      </c>
      <c r="B92" s="700">
        <v>30278681</v>
      </c>
      <c r="C92" s="700">
        <v>5177280</v>
      </c>
      <c r="D92" s="700">
        <v>2430565</v>
      </c>
      <c r="F92" s="420"/>
      <c r="G92" s="653">
        <v>0.2</v>
      </c>
      <c r="H92" s="625">
        <v>8452066</v>
      </c>
      <c r="I92" s="625">
        <v>1766628</v>
      </c>
      <c r="J92" s="625">
        <v>176663</v>
      </c>
      <c r="K92" s="416"/>
      <c r="L92" s="416"/>
      <c r="M92" s="416"/>
    </row>
    <row r="93" spans="1:13" ht="12.9">
      <c r="A93" s="653">
        <v>0.19</v>
      </c>
      <c r="B93" s="700">
        <v>27979784</v>
      </c>
      <c r="C93" s="700">
        <v>4784196</v>
      </c>
      <c r="D93" s="700">
        <v>2246026</v>
      </c>
      <c r="F93" s="420"/>
      <c r="G93" s="653">
        <v>0.19</v>
      </c>
      <c r="H93" s="625">
        <v>7810346</v>
      </c>
      <c r="I93" s="625">
        <v>1632497</v>
      </c>
      <c r="J93" s="625">
        <v>163250</v>
      </c>
      <c r="K93" s="416"/>
      <c r="L93" s="416"/>
      <c r="M93" s="416"/>
    </row>
    <row r="94" spans="1:13" ht="12.9">
      <c r="A94" s="653">
        <v>0.18</v>
      </c>
      <c r="B94" s="700">
        <v>25742199</v>
      </c>
      <c r="C94" s="700">
        <v>4401597</v>
      </c>
      <c r="D94" s="700">
        <v>2066399</v>
      </c>
      <c r="F94" s="420"/>
      <c r="G94" s="653">
        <v>0.18</v>
      </c>
      <c r="H94" s="625">
        <v>7185741</v>
      </c>
      <c r="I94" s="625">
        <v>1501944</v>
      </c>
      <c r="J94" s="625">
        <v>150194</v>
      </c>
      <c r="K94" s="416"/>
      <c r="L94" s="416"/>
      <c r="M94" s="416"/>
    </row>
    <row r="95" spans="1:13" ht="12.9">
      <c r="A95" s="653">
        <v>0.17</v>
      </c>
      <c r="B95" s="700">
        <v>23567657</v>
      </c>
      <c r="C95" s="700">
        <v>4029777</v>
      </c>
      <c r="D95" s="700">
        <v>1891849</v>
      </c>
      <c r="F95" s="420"/>
      <c r="G95" s="653">
        <v>0.17</v>
      </c>
      <c r="H95" s="625">
        <v>6578734</v>
      </c>
      <c r="I95" s="625">
        <v>1375069</v>
      </c>
      <c r="J95" s="625">
        <v>137507</v>
      </c>
      <c r="K95" s="416"/>
      <c r="L95" s="416"/>
      <c r="M95" s="416"/>
    </row>
    <row r="96" spans="1:13" ht="12.9">
      <c r="A96" s="653">
        <v>0.16</v>
      </c>
      <c r="B96" s="700">
        <v>21458039</v>
      </c>
      <c r="C96" s="700">
        <v>3669058</v>
      </c>
      <c r="D96" s="700">
        <v>1722499</v>
      </c>
      <c r="F96" s="420"/>
      <c r="G96" s="653">
        <v>0.16</v>
      </c>
      <c r="H96" s="625">
        <v>5989850</v>
      </c>
      <c r="I96" s="625">
        <v>1251982</v>
      </c>
      <c r="J96" s="625">
        <v>125198</v>
      </c>
      <c r="K96" s="416"/>
      <c r="L96" s="416"/>
      <c r="M96" s="416"/>
    </row>
    <row r="97" spans="1:13" ht="12.9">
      <c r="A97" s="653">
        <v>0.15</v>
      </c>
      <c r="B97" s="700">
        <v>19415415</v>
      </c>
      <c r="C97" s="700">
        <v>3319795</v>
      </c>
      <c r="D97" s="700">
        <v>1558529</v>
      </c>
      <c r="F97" s="420"/>
      <c r="G97" s="653">
        <v>0.15</v>
      </c>
      <c r="H97" s="625">
        <v>5419667</v>
      </c>
      <c r="I97" s="625">
        <v>1132804</v>
      </c>
      <c r="J97" s="625">
        <v>113280</v>
      </c>
      <c r="K97" s="416"/>
      <c r="L97" s="416"/>
      <c r="M97" s="416"/>
    </row>
    <row r="98" spans="1:13" ht="12.9">
      <c r="A98" s="653">
        <v>0.14000000000000001</v>
      </c>
      <c r="B98" s="700">
        <v>17442057</v>
      </c>
      <c r="C98" s="700">
        <v>2982375</v>
      </c>
      <c r="D98" s="700">
        <v>1400131</v>
      </c>
      <c r="F98" s="420"/>
      <c r="G98" s="653">
        <v>0.14000000000000001</v>
      </c>
      <c r="H98" s="625">
        <v>4868819</v>
      </c>
      <c r="I98" s="625">
        <v>1017667</v>
      </c>
      <c r="J98" s="625">
        <v>101767</v>
      </c>
      <c r="K98" s="416"/>
      <c r="L98" s="416"/>
      <c r="M98" s="416"/>
    </row>
    <row r="99" spans="1:13" ht="12.9">
      <c r="A99" s="653">
        <v>0.13</v>
      </c>
      <c r="B99" s="700">
        <v>15540483</v>
      </c>
      <c r="C99" s="700">
        <v>2657231</v>
      </c>
      <c r="D99" s="700">
        <v>1247484</v>
      </c>
      <c r="F99" s="420"/>
      <c r="G99" s="653">
        <v>0.13</v>
      </c>
      <c r="H99" s="625">
        <v>4338009</v>
      </c>
      <c r="I99" s="625">
        <v>906719</v>
      </c>
      <c r="J99" s="625">
        <v>90672</v>
      </c>
      <c r="K99" s="416"/>
      <c r="L99" s="416"/>
      <c r="M99" s="416"/>
    </row>
    <row r="100" spans="1:13" ht="12.9">
      <c r="A100" s="653">
        <v>0.12</v>
      </c>
      <c r="B100" s="700">
        <v>13713520</v>
      </c>
      <c r="C100" s="700">
        <v>2344843</v>
      </c>
      <c r="D100" s="700">
        <v>1100821</v>
      </c>
      <c r="F100" s="420"/>
      <c r="G100" s="653">
        <v>0.12</v>
      </c>
      <c r="H100" s="625">
        <v>3828026</v>
      </c>
      <c r="I100" s="625">
        <v>800124</v>
      </c>
      <c r="J100" s="625">
        <v>80012</v>
      </c>
      <c r="K100" s="416"/>
      <c r="L100" s="416"/>
      <c r="M100" s="416"/>
    </row>
    <row r="101" spans="1:13" ht="12.9">
      <c r="A101" s="653">
        <v>0.11</v>
      </c>
      <c r="B101" s="700">
        <v>11964353</v>
      </c>
      <c r="C101" s="700">
        <v>2045758</v>
      </c>
      <c r="D101" s="700">
        <v>960419</v>
      </c>
      <c r="F101" s="420"/>
      <c r="G101" s="653">
        <v>0.11</v>
      </c>
      <c r="H101" s="625">
        <v>3339759</v>
      </c>
      <c r="I101" s="625">
        <v>698068</v>
      </c>
      <c r="J101" s="625">
        <v>69807</v>
      </c>
      <c r="K101" s="416"/>
      <c r="L101" s="416"/>
      <c r="M101" s="416"/>
    </row>
    <row r="102" spans="1:13" ht="12.9">
      <c r="A102" s="653">
        <v>0.1</v>
      </c>
      <c r="B102" s="700">
        <v>10296602</v>
      </c>
      <c r="C102" s="700">
        <v>1760593</v>
      </c>
      <c r="D102" s="700">
        <v>826538</v>
      </c>
      <c r="F102" s="420"/>
      <c r="G102" s="653">
        <v>0.1</v>
      </c>
      <c r="H102" s="625">
        <v>2874219</v>
      </c>
      <c r="I102" s="625">
        <v>600762</v>
      </c>
      <c r="J102" s="625">
        <v>60076</v>
      </c>
      <c r="K102" s="416"/>
      <c r="L102" s="416"/>
      <c r="M102" s="416"/>
    </row>
    <row r="103" spans="1:13" ht="12.9">
      <c r="A103" s="653">
        <v>0.09</v>
      </c>
      <c r="B103" s="700">
        <v>8714460</v>
      </c>
      <c r="C103" s="700">
        <v>1490067</v>
      </c>
      <c r="D103" s="700">
        <v>699536</v>
      </c>
      <c r="F103" s="420"/>
      <c r="G103" s="653">
        <v>0.09</v>
      </c>
      <c r="H103" s="625">
        <v>2432576</v>
      </c>
      <c r="I103" s="625">
        <v>508451</v>
      </c>
      <c r="J103" s="625">
        <v>50845</v>
      </c>
      <c r="K103" s="416"/>
      <c r="L103" s="416"/>
      <c r="M103" s="416"/>
    </row>
    <row r="104" spans="1:13" ht="12.9">
      <c r="A104" s="653">
        <v>0.08</v>
      </c>
      <c r="B104" s="700">
        <v>7222842</v>
      </c>
      <c r="C104" s="700">
        <v>1235016</v>
      </c>
      <c r="D104" s="700">
        <v>579798</v>
      </c>
      <c r="F104" s="420"/>
      <c r="G104" s="653">
        <v>0.08</v>
      </c>
      <c r="H104" s="625">
        <v>2016202</v>
      </c>
      <c r="I104" s="625">
        <v>421421</v>
      </c>
      <c r="J104" s="625">
        <v>42142</v>
      </c>
      <c r="K104" s="416"/>
      <c r="L104" s="416"/>
      <c r="M104" s="416"/>
    </row>
    <row r="105" spans="1:13" ht="12.9">
      <c r="A105" s="653">
        <v>7.0000000000000007E-2</v>
      </c>
      <c r="B105" s="700">
        <v>5827615</v>
      </c>
      <c r="C105" s="700">
        <v>996451</v>
      </c>
      <c r="D105" s="700">
        <v>467806</v>
      </c>
      <c r="F105" s="420"/>
      <c r="G105" s="653">
        <v>7.0000000000000007E-2</v>
      </c>
      <c r="H105" s="625">
        <v>1626735</v>
      </c>
      <c r="I105" s="625">
        <v>340016</v>
      </c>
      <c r="J105" s="625">
        <v>34002</v>
      </c>
      <c r="K105" s="416"/>
      <c r="L105" s="416"/>
      <c r="M105" s="416"/>
    </row>
    <row r="106" spans="1:13" ht="12.9">
      <c r="A106" s="653">
        <v>0.06</v>
      </c>
      <c r="B106" s="700">
        <v>4535974</v>
      </c>
      <c r="C106" s="700">
        <v>775595</v>
      </c>
      <c r="D106" s="700">
        <v>364111</v>
      </c>
      <c r="F106" s="420"/>
      <c r="G106" s="653">
        <v>0.06</v>
      </c>
      <c r="H106" s="625">
        <v>1266183</v>
      </c>
      <c r="I106" s="625">
        <v>264654</v>
      </c>
      <c r="J106" s="625">
        <v>26465</v>
      </c>
      <c r="K106" s="416"/>
      <c r="L106" s="416"/>
      <c r="M106" s="416"/>
    </row>
    <row r="107" spans="1:13" ht="12.9">
      <c r="A107" s="653">
        <v>0.05</v>
      </c>
      <c r="B107" s="700">
        <v>3357003</v>
      </c>
      <c r="C107" s="700">
        <v>574008</v>
      </c>
      <c r="D107" s="700">
        <v>269482</v>
      </c>
      <c r="F107" s="420"/>
      <c r="G107" s="653">
        <v>0.05</v>
      </c>
      <c r="H107" s="625">
        <v>937082</v>
      </c>
      <c r="I107" s="625">
        <v>195867</v>
      </c>
      <c r="J107" s="625">
        <v>19587</v>
      </c>
      <c r="K107" s="416"/>
      <c r="L107" s="416"/>
      <c r="M107" s="416"/>
    </row>
    <row r="108" spans="1:13" ht="12.9">
      <c r="A108" s="653">
        <v>0.04</v>
      </c>
      <c r="B108" s="700">
        <v>2302731</v>
      </c>
      <c r="C108" s="700">
        <v>393741</v>
      </c>
      <c r="D108" s="700">
        <v>184855</v>
      </c>
      <c r="F108" s="420"/>
      <c r="G108" s="653">
        <v>0.04</v>
      </c>
      <c r="H108" s="625">
        <v>642790</v>
      </c>
      <c r="I108" s="625">
        <v>134355</v>
      </c>
      <c r="J108" s="625">
        <v>13436</v>
      </c>
      <c r="K108" s="416"/>
      <c r="L108" s="416"/>
      <c r="M108" s="416"/>
    </row>
    <row r="109" spans="1:13" ht="12.9">
      <c r="A109" s="653">
        <v>0.03</v>
      </c>
      <c r="B109" s="700">
        <v>1390154</v>
      </c>
      <c r="C109" s="700">
        <v>237701</v>
      </c>
      <c r="D109" s="700">
        <v>111593</v>
      </c>
      <c r="F109" s="420"/>
      <c r="G109" s="653">
        <v>0.03</v>
      </c>
      <c r="H109" s="625">
        <v>388051</v>
      </c>
      <c r="I109" s="625">
        <v>81110</v>
      </c>
      <c r="J109" s="625">
        <v>8111</v>
      </c>
      <c r="K109" s="416"/>
      <c r="L109" s="416"/>
      <c r="M109" s="416"/>
    </row>
    <row r="110" spans="1:13" ht="12.9">
      <c r="A110" s="653">
        <v>0.02</v>
      </c>
      <c r="B110" s="700">
        <v>646111</v>
      </c>
      <c r="C110" s="700">
        <v>110478</v>
      </c>
      <c r="D110" s="700">
        <v>51868</v>
      </c>
      <c r="F110" s="420"/>
      <c r="G110" s="653">
        <v>0.02</v>
      </c>
      <c r="H110" s="625">
        <v>180357</v>
      </c>
      <c r="I110" s="625">
        <v>37698</v>
      </c>
      <c r="J110" s="625">
        <v>3770</v>
      </c>
      <c r="K110" s="416"/>
      <c r="L110" s="416"/>
      <c r="M110" s="416"/>
    </row>
    <row r="111" spans="1:13" ht="12.9">
      <c r="A111" s="653">
        <v>0.01</v>
      </c>
      <c r="B111" s="700">
        <v>124356</v>
      </c>
      <c r="C111" s="700">
        <v>21264</v>
      </c>
      <c r="D111" s="700">
        <v>9988</v>
      </c>
      <c r="F111" s="420"/>
      <c r="G111" s="653">
        <v>0.01</v>
      </c>
      <c r="H111" s="625">
        <v>34713</v>
      </c>
      <c r="I111" s="625">
        <v>7256</v>
      </c>
      <c r="J111" s="625">
        <v>726</v>
      </c>
      <c r="K111" s="416"/>
      <c r="L111" s="416"/>
      <c r="M111" s="416"/>
    </row>
    <row r="112" spans="1:13" ht="12.9">
      <c r="A112" s="653">
        <v>0</v>
      </c>
      <c r="B112" s="701">
        <v>0</v>
      </c>
      <c r="C112" s="701">
        <v>0</v>
      </c>
      <c r="D112" s="701">
        <v>0</v>
      </c>
      <c r="F112" s="420"/>
      <c r="G112" s="653">
        <v>0</v>
      </c>
      <c r="H112" s="625">
        <v>0</v>
      </c>
      <c r="I112" s="625">
        <v>0</v>
      </c>
      <c r="J112" s="625">
        <v>0</v>
      </c>
      <c r="K112" s="416"/>
      <c r="L112" s="416"/>
      <c r="M112" s="416"/>
    </row>
    <row r="113" spans="1:12" ht="12.9">
      <c r="A113" s="702"/>
      <c r="B113" s="416"/>
      <c r="C113" s="416"/>
      <c r="D113" s="416"/>
      <c r="G113" s="409"/>
      <c r="H113" s="409"/>
      <c r="I113" s="409"/>
      <c r="J113" s="409"/>
    </row>
    <row r="114" spans="1:12">
      <c r="A114" s="702"/>
      <c r="B114" s="416"/>
      <c r="C114" s="416"/>
      <c r="D114" s="416"/>
      <c r="I114" s="11"/>
    </row>
    <row r="115" spans="1:12" ht="12.9">
      <c r="B115" t="s">
        <v>563</v>
      </c>
      <c r="D115" t="s">
        <v>564</v>
      </c>
      <c r="F115" s="427"/>
      <c r="J115" s="426"/>
      <c r="L115" s="91"/>
    </row>
    <row r="116" spans="1:12">
      <c r="C116" s="287"/>
      <c r="I116" s="287"/>
    </row>
  </sheetData>
  <printOptions horizontalCentered="1"/>
  <pageMargins left="0" right="0" top="0.5" bottom="0.25" header="0" footer="0.25"/>
  <pageSetup scale="85" orientation="portrait" r:id="rId1"/>
  <rowBreaks count="2" manualBreakCount="2">
    <brk id="67" max="4" man="1"/>
    <brk id="68" min="6" max="10" man="1"/>
  </rowBreak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3BC3926-5D23-418C-8FB1-EAF734922D22}">
  <sheetPr codeName="Sheet16"/>
  <dimension ref="A1:P33"/>
  <sheetViews>
    <sheetView workbookViewId="0">
      <selection activeCell="M34" sqref="M34"/>
    </sheetView>
  </sheetViews>
  <sheetFormatPr defaultColWidth="9.296875" defaultRowHeight="14.6"/>
  <cols>
    <col min="1" max="1" width="18.296875" style="94" bestFit="1" customWidth="1"/>
    <col min="2" max="2" width="9.296875" style="94"/>
    <col min="3" max="3" width="9.5" style="94" bestFit="1" customWidth="1"/>
    <col min="4" max="4" width="10.5" style="94" bestFit="1" customWidth="1"/>
    <col min="5" max="7" width="9.5" style="94" bestFit="1" customWidth="1"/>
    <col min="8" max="10" width="10.5" style="94" bestFit="1" customWidth="1"/>
    <col min="11" max="12" width="9.5" style="94" bestFit="1" customWidth="1"/>
    <col min="13" max="13" width="9.296875" style="532"/>
    <col min="14" max="16384" width="9.296875" style="94"/>
  </cols>
  <sheetData>
    <row r="1" spans="1:16">
      <c r="A1" s="524" t="s">
        <v>231</v>
      </c>
      <c r="N1" s="524" t="s">
        <v>230</v>
      </c>
      <c r="P1" s="94" t="s">
        <v>277</v>
      </c>
    </row>
    <row r="2" spans="1:16">
      <c r="A2" s="157"/>
      <c r="B2" s="157"/>
      <c r="C2" s="528" t="s">
        <v>13</v>
      </c>
      <c r="D2" s="528" t="s">
        <v>8</v>
      </c>
      <c r="E2" s="528" t="s">
        <v>14</v>
      </c>
      <c r="F2" s="528" t="s">
        <v>15</v>
      </c>
      <c r="G2" s="528" t="s">
        <v>16</v>
      </c>
      <c r="H2" s="528" t="s">
        <v>13</v>
      </c>
      <c r="I2" s="528" t="s">
        <v>8</v>
      </c>
      <c r="J2" s="528" t="s">
        <v>14</v>
      </c>
      <c r="K2" s="528" t="s">
        <v>15</v>
      </c>
      <c r="L2" s="528" t="s">
        <v>16</v>
      </c>
      <c r="M2" s="533"/>
      <c r="N2" s="529" t="s">
        <v>72</v>
      </c>
      <c r="O2" s="529" t="s">
        <v>165</v>
      </c>
    </row>
    <row r="3" spans="1:16">
      <c r="A3" s="530" t="s">
        <v>55</v>
      </c>
      <c r="B3" s="157">
        <f>+Indemnity!J38</f>
        <v>2015</v>
      </c>
      <c r="C3" s="485">
        <f>+Indemnity!K38</f>
        <v>1.756</v>
      </c>
      <c r="D3" s="485">
        <f>+Indemnity!L38</f>
        <v>0</v>
      </c>
      <c r="E3" s="485">
        <f>+Indemnity!M38</f>
        <v>0</v>
      </c>
      <c r="F3" s="485">
        <f>+Indemnity!N38</f>
        <v>0</v>
      </c>
      <c r="G3" s="485">
        <f>+Indemnity!O38</f>
        <v>0</v>
      </c>
      <c r="H3" s="485">
        <f>+Medical!K38</f>
        <v>1.671</v>
      </c>
      <c r="I3" s="485">
        <f>+Medical!L38</f>
        <v>0</v>
      </c>
      <c r="J3" s="485">
        <f>+Medical!M38</f>
        <v>0</v>
      </c>
      <c r="K3" s="485">
        <f>+Medical!N38</f>
        <v>0</v>
      </c>
      <c r="L3" s="485">
        <f>+Medical!O38</f>
        <v>0</v>
      </c>
      <c r="N3" s="526">
        <f>B3</f>
        <v>2015</v>
      </c>
      <c r="O3" s="527">
        <v>1.153</v>
      </c>
    </row>
    <row r="4" spans="1:16">
      <c r="A4" s="530" t="s">
        <v>55</v>
      </c>
      <c r="B4" s="157">
        <f>B3+1</f>
        <v>2016</v>
      </c>
      <c r="C4" s="485">
        <f>+Indemnity!K39</f>
        <v>1.8464</v>
      </c>
      <c r="D4" s="485">
        <f>+Indemnity!L39</f>
        <v>0</v>
      </c>
      <c r="E4" s="485">
        <f>+Indemnity!M39</f>
        <v>0</v>
      </c>
      <c r="F4" s="485">
        <f>+Indemnity!N39</f>
        <v>0</v>
      </c>
      <c r="G4" s="485">
        <f>+Indemnity!O39</f>
        <v>0</v>
      </c>
      <c r="H4" s="485">
        <f>+Medical!K39</f>
        <v>1.7091000000000001</v>
      </c>
      <c r="I4" s="485">
        <f>+Medical!L39</f>
        <v>0</v>
      </c>
      <c r="J4" s="485">
        <f>+Medical!M39</f>
        <v>0</v>
      </c>
      <c r="K4" s="485">
        <f>+Medical!N39</f>
        <v>0</v>
      </c>
      <c r="L4" s="485">
        <f>+Medical!O39</f>
        <v>0</v>
      </c>
      <c r="N4" s="526">
        <f t="shared" ref="N4:N7" si="0">B4</f>
        <v>2016</v>
      </c>
      <c r="O4" s="527">
        <v>1.153</v>
      </c>
    </row>
    <row r="5" spans="1:16">
      <c r="A5" s="530" t="s">
        <v>55</v>
      </c>
      <c r="B5" s="157">
        <f t="shared" ref="B5:B7" si="1">B4+1</f>
        <v>2017</v>
      </c>
      <c r="C5" s="485">
        <f>+Indemnity!K40</f>
        <v>1.9956</v>
      </c>
      <c r="D5" s="485">
        <f>+Indemnity!L40</f>
        <v>0</v>
      </c>
      <c r="E5" s="485">
        <f>+Indemnity!M40</f>
        <v>0</v>
      </c>
      <c r="F5" s="485">
        <f>+Indemnity!N40</f>
        <v>0</v>
      </c>
      <c r="G5" s="485">
        <f>+Indemnity!O40</f>
        <v>0</v>
      </c>
      <c r="H5" s="485">
        <f>+Medical!K40</f>
        <v>1.8026</v>
      </c>
      <c r="I5" s="485">
        <f>+Medical!L40</f>
        <v>0</v>
      </c>
      <c r="J5" s="485">
        <f>+Medical!M40</f>
        <v>0</v>
      </c>
      <c r="K5" s="485">
        <f>+Medical!N40</f>
        <v>0</v>
      </c>
      <c r="L5" s="485">
        <f>+Medical!O40</f>
        <v>0</v>
      </c>
      <c r="N5" s="526">
        <f t="shared" si="0"/>
        <v>2017</v>
      </c>
      <c r="O5" s="527">
        <v>1.153</v>
      </c>
    </row>
    <row r="6" spans="1:16">
      <c r="A6" s="530" t="s">
        <v>55</v>
      </c>
      <c r="B6" s="157">
        <f t="shared" si="1"/>
        <v>2018</v>
      </c>
      <c r="C6" s="485">
        <f>+Indemnity!K41</f>
        <v>2.2766000000000002</v>
      </c>
      <c r="D6" s="485">
        <f>+Indemnity!L41</f>
        <v>0</v>
      </c>
      <c r="E6" s="485">
        <f>+Indemnity!M41</f>
        <v>0</v>
      </c>
      <c r="F6" s="485">
        <f>+Indemnity!N41</f>
        <v>0</v>
      </c>
      <c r="G6" s="485">
        <f>+Indemnity!O41</f>
        <v>0</v>
      </c>
      <c r="H6" s="485">
        <f>+Medical!K41</f>
        <v>2.0512000000000001</v>
      </c>
      <c r="I6" s="485">
        <f>+Medical!L41</f>
        <v>0</v>
      </c>
      <c r="J6" s="485">
        <f>+Medical!M41</f>
        <v>0</v>
      </c>
      <c r="K6" s="485">
        <f>+Medical!N41</f>
        <v>0</v>
      </c>
      <c r="L6" s="485">
        <f>+Medical!O41</f>
        <v>0</v>
      </c>
      <c r="N6" s="526">
        <f t="shared" si="0"/>
        <v>2018</v>
      </c>
      <c r="O6" s="527">
        <v>1.153</v>
      </c>
    </row>
    <row r="7" spans="1:16">
      <c r="A7" s="530" t="s">
        <v>55</v>
      </c>
      <c r="B7" s="157">
        <f t="shared" si="1"/>
        <v>2019</v>
      </c>
      <c r="C7" s="485">
        <f>+Indemnity!K42</f>
        <v>3.0142000000000002</v>
      </c>
      <c r="D7" s="485">
        <f>+Indemnity!L42</f>
        <v>0</v>
      </c>
      <c r="E7" s="485">
        <f>+Indemnity!M42</f>
        <v>0</v>
      </c>
      <c r="F7" s="485">
        <f>+Indemnity!N42</f>
        <v>0</v>
      </c>
      <c r="G7" s="485">
        <f>+Indemnity!O42</f>
        <v>0</v>
      </c>
      <c r="H7" s="485">
        <f>+Medical!K42</f>
        <v>2.7488000000000001</v>
      </c>
      <c r="I7" s="485">
        <f>+Medical!L42</f>
        <v>0</v>
      </c>
      <c r="J7" s="485">
        <f>+Medical!M42</f>
        <v>0</v>
      </c>
      <c r="K7" s="485">
        <f>+Medical!N42</f>
        <v>0</v>
      </c>
      <c r="L7" s="485">
        <f>+Medical!O42</f>
        <v>0</v>
      </c>
      <c r="N7" s="526">
        <f t="shared" si="0"/>
        <v>2019</v>
      </c>
      <c r="O7" s="527">
        <v>1.153</v>
      </c>
    </row>
    <row r="8" spans="1:16">
      <c r="A8" s="157"/>
      <c r="B8" s="157"/>
      <c r="C8" s="484"/>
      <c r="D8" s="484"/>
      <c r="E8" s="484"/>
      <c r="F8" s="484"/>
      <c r="G8" s="484"/>
      <c r="H8" s="484"/>
      <c r="I8" s="484"/>
      <c r="J8" s="484"/>
      <c r="K8" s="484"/>
      <c r="L8" s="484"/>
    </row>
    <row r="9" spans="1:16">
      <c r="A9" s="530" t="s">
        <v>56</v>
      </c>
      <c r="B9" s="157">
        <f>B3</f>
        <v>2015</v>
      </c>
      <c r="C9" s="485">
        <f>+Indemnity!K45</f>
        <v>0</v>
      </c>
      <c r="D9" s="485">
        <f>+Indemnity!L45</f>
        <v>1.756</v>
      </c>
      <c r="E9" s="485">
        <f>+Indemnity!M45</f>
        <v>0</v>
      </c>
      <c r="F9" s="485">
        <f>+Indemnity!N45</f>
        <v>0</v>
      </c>
      <c r="G9" s="485">
        <f>+Indemnity!O45</f>
        <v>0</v>
      </c>
      <c r="H9" s="485">
        <f>+Medical!K45</f>
        <v>0</v>
      </c>
      <c r="I9" s="485">
        <f>+Medical!L45</f>
        <v>1.671</v>
      </c>
      <c r="J9" s="485">
        <f>+Medical!M45</f>
        <v>0</v>
      </c>
      <c r="K9" s="485">
        <f>+Medical!N45</f>
        <v>0</v>
      </c>
      <c r="L9" s="485">
        <f>+Medical!O45</f>
        <v>0</v>
      </c>
    </row>
    <row r="10" spans="1:16">
      <c r="A10" s="530" t="s">
        <v>56</v>
      </c>
      <c r="B10" s="157">
        <f t="shared" ref="B10:B13" si="2">B4</f>
        <v>2016</v>
      </c>
      <c r="C10" s="485">
        <f>+Indemnity!K46</f>
        <v>0</v>
      </c>
      <c r="D10" s="485">
        <f>+Indemnity!L46</f>
        <v>1.8464</v>
      </c>
      <c r="E10" s="485">
        <f>+Indemnity!M46</f>
        <v>0</v>
      </c>
      <c r="F10" s="485">
        <f>+Indemnity!N46</f>
        <v>0</v>
      </c>
      <c r="G10" s="485">
        <f>+Indemnity!O46</f>
        <v>0</v>
      </c>
      <c r="H10" s="485">
        <f>+Medical!K46</f>
        <v>0</v>
      </c>
      <c r="I10" s="485">
        <f>+Medical!L46</f>
        <v>1.7091000000000001</v>
      </c>
      <c r="J10" s="485">
        <f>+Medical!M46</f>
        <v>0</v>
      </c>
      <c r="K10" s="485">
        <f>+Medical!N46</f>
        <v>0</v>
      </c>
      <c r="L10" s="485">
        <f>+Medical!O46</f>
        <v>0</v>
      </c>
    </row>
    <row r="11" spans="1:16">
      <c r="A11" s="530" t="s">
        <v>56</v>
      </c>
      <c r="B11" s="157">
        <f t="shared" si="2"/>
        <v>2017</v>
      </c>
      <c r="C11" s="485">
        <f>+Indemnity!K47</f>
        <v>0</v>
      </c>
      <c r="D11" s="485">
        <f>+Indemnity!L47</f>
        <v>1.9956</v>
      </c>
      <c r="E11" s="485">
        <f>+Indemnity!M47</f>
        <v>0</v>
      </c>
      <c r="F11" s="485">
        <f>+Indemnity!N47</f>
        <v>0</v>
      </c>
      <c r="G11" s="485">
        <f>+Indemnity!O47</f>
        <v>0</v>
      </c>
      <c r="H11" s="485">
        <f>+Medical!K47</f>
        <v>0</v>
      </c>
      <c r="I11" s="485">
        <f>+Medical!L47</f>
        <v>1.8026</v>
      </c>
      <c r="J11" s="485">
        <f>+Medical!M47</f>
        <v>0</v>
      </c>
      <c r="K11" s="485">
        <f>+Medical!N47</f>
        <v>0</v>
      </c>
      <c r="L11" s="485">
        <f>+Medical!O47</f>
        <v>0</v>
      </c>
    </row>
    <row r="12" spans="1:16">
      <c r="A12" s="530" t="s">
        <v>56</v>
      </c>
      <c r="B12" s="157">
        <f t="shared" si="2"/>
        <v>2018</v>
      </c>
      <c r="C12" s="485">
        <f>+Indemnity!K48</f>
        <v>0</v>
      </c>
      <c r="D12" s="485">
        <f>+Indemnity!L48</f>
        <v>2.2766000000000002</v>
      </c>
      <c r="E12" s="485">
        <f>+Indemnity!M48</f>
        <v>0</v>
      </c>
      <c r="F12" s="485">
        <f>+Indemnity!N48</f>
        <v>0</v>
      </c>
      <c r="G12" s="485">
        <f>+Indemnity!O48</f>
        <v>0</v>
      </c>
      <c r="H12" s="485">
        <f>+Medical!K48</f>
        <v>0</v>
      </c>
      <c r="I12" s="485">
        <f>+Medical!L48</f>
        <v>2.0512000000000001</v>
      </c>
      <c r="J12" s="485">
        <f>+Medical!M48</f>
        <v>0</v>
      </c>
      <c r="K12" s="485">
        <f>+Medical!N48</f>
        <v>0</v>
      </c>
      <c r="L12" s="485">
        <f>+Medical!O48</f>
        <v>0</v>
      </c>
    </row>
    <row r="13" spans="1:16">
      <c r="A13" s="530" t="s">
        <v>56</v>
      </c>
      <c r="B13" s="157">
        <f t="shared" si="2"/>
        <v>2019</v>
      </c>
      <c r="C13" s="485">
        <f>+Indemnity!K49</f>
        <v>0</v>
      </c>
      <c r="D13" s="485">
        <f>+Indemnity!L49</f>
        <v>3.0142000000000002</v>
      </c>
      <c r="E13" s="485">
        <f>+Indemnity!M49</f>
        <v>0</v>
      </c>
      <c r="F13" s="485">
        <f>+Indemnity!N49</f>
        <v>0</v>
      </c>
      <c r="G13" s="485">
        <f>+Indemnity!O49</f>
        <v>0</v>
      </c>
      <c r="H13" s="485">
        <f>+Medical!K49</f>
        <v>0</v>
      </c>
      <c r="I13" s="485">
        <f>+Medical!L49</f>
        <v>2.7488000000000001</v>
      </c>
      <c r="J13" s="485">
        <f>+Medical!M49</f>
        <v>0</v>
      </c>
      <c r="K13" s="485">
        <f>+Medical!N49</f>
        <v>0</v>
      </c>
      <c r="L13" s="485">
        <f>+Medical!O49</f>
        <v>0</v>
      </c>
    </row>
    <row r="14" spans="1:16">
      <c r="A14" s="157"/>
      <c r="B14" s="157"/>
      <c r="C14" s="484"/>
      <c r="D14" s="484"/>
      <c r="E14" s="484"/>
      <c r="F14" s="484"/>
      <c r="G14" s="484"/>
      <c r="H14" s="484"/>
      <c r="I14" s="484"/>
      <c r="J14" s="484"/>
      <c r="K14" s="484"/>
      <c r="L14" s="484"/>
    </row>
    <row r="15" spans="1:16">
      <c r="A15" s="530" t="s">
        <v>57</v>
      </c>
      <c r="B15" s="157">
        <f>B9</f>
        <v>2015</v>
      </c>
      <c r="C15" s="485">
        <f>+Indemnity!K52</f>
        <v>0</v>
      </c>
      <c r="D15" s="485">
        <f>+Indemnity!L52</f>
        <v>0</v>
      </c>
      <c r="E15" s="485">
        <f>+Indemnity!M52</f>
        <v>1.756</v>
      </c>
      <c r="F15" s="485">
        <f>+Indemnity!N52</f>
        <v>0</v>
      </c>
      <c r="G15" s="485">
        <f>+Indemnity!O52</f>
        <v>0</v>
      </c>
      <c r="H15" s="485">
        <f>+Medical!K52</f>
        <v>0</v>
      </c>
      <c r="I15" s="485">
        <f>+Medical!L52</f>
        <v>0</v>
      </c>
      <c r="J15" s="485">
        <f>+Medical!M52</f>
        <v>1.671</v>
      </c>
      <c r="K15" s="485">
        <f>+Medical!N52</f>
        <v>0</v>
      </c>
      <c r="L15" s="485">
        <f>+Medical!O52</f>
        <v>0</v>
      </c>
    </row>
    <row r="16" spans="1:16">
      <c r="A16" s="530" t="s">
        <v>57</v>
      </c>
      <c r="B16" s="157">
        <f t="shared" ref="B16:B19" si="3">B10</f>
        <v>2016</v>
      </c>
      <c r="C16" s="485">
        <f>+Indemnity!K53</f>
        <v>0</v>
      </c>
      <c r="D16" s="485">
        <f>+Indemnity!L53</f>
        <v>0</v>
      </c>
      <c r="E16" s="485">
        <f>+Indemnity!M53</f>
        <v>1.8464</v>
      </c>
      <c r="F16" s="485">
        <f>+Indemnity!N53</f>
        <v>0</v>
      </c>
      <c r="G16" s="485">
        <f>+Indemnity!O53</f>
        <v>0</v>
      </c>
      <c r="H16" s="485">
        <f>+Medical!K53</f>
        <v>0</v>
      </c>
      <c r="I16" s="485">
        <f>+Medical!L53</f>
        <v>0</v>
      </c>
      <c r="J16" s="485">
        <f>+Medical!M53</f>
        <v>1.7091000000000001</v>
      </c>
      <c r="K16" s="485">
        <f>+Medical!N53</f>
        <v>0</v>
      </c>
      <c r="L16" s="485">
        <f>+Medical!O53</f>
        <v>0</v>
      </c>
    </row>
    <row r="17" spans="1:12">
      <c r="A17" s="530" t="s">
        <v>57</v>
      </c>
      <c r="B17" s="157">
        <f t="shared" si="3"/>
        <v>2017</v>
      </c>
      <c r="C17" s="485">
        <f>+Indemnity!K54</f>
        <v>0</v>
      </c>
      <c r="D17" s="485">
        <f>+Indemnity!L54</f>
        <v>0</v>
      </c>
      <c r="E17" s="485">
        <f>+Indemnity!M54</f>
        <v>1.9956</v>
      </c>
      <c r="F17" s="485">
        <f>+Indemnity!N54</f>
        <v>0</v>
      </c>
      <c r="G17" s="485">
        <f>+Indemnity!O54</f>
        <v>0</v>
      </c>
      <c r="H17" s="485">
        <f>+Medical!K54</f>
        <v>0</v>
      </c>
      <c r="I17" s="485">
        <f>+Medical!L54</f>
        <v>0</v>
      </c>
      <c r="J17" s="485">
        <f>+Medical!M54</f>
        <v>1.8026</v>
      </c>
      <c r="K17" s="485">
        <f>+Medical!N54</f>
        <v>0</v>
      </c>
      <c r="L17" s="485">
        <f>+Medical!O54</f>
        <v>0</v>
      </c>
    </row>
    <row r="18" spans="1:12">
      <c r="A18" s="530" t="s">
        <v>57</v>
      </c>
      <c r="B18" s="157">
        <f t="shared" si="3"/>
        <v>2018</v>
      </c>
      <c r="C18" s="485">
        <f>+Indemnity!K55</f>
        <v>0</v>
      </c>
      <c r="D18" s="485">
        <f>+Indemnity!L55</f>
        <v>0</v>
      </c>
      <c r="E18" s="485">
        <f>+Indemnity!M55</f>
        <v>2.2766000000000002</v>
      </c>
      <c r="F18" s="485">
        <f>+Indemnity!N55</f>
        <v>0</v>
      </c>
      <c r="G18" s="485">
        <f>+Indemnity!O55</f>
        <v>0</v>
      </c>
      <c r="H18" s="485">
        <f>+Medical!K55</f>
        <v>0</v>
      </c>
      <c r="I18" s="485">
        <f>+Medical!L55</f>
        <v>0</v>
      </c>
      <c r="J18" s="485">
        <f>+Medical!M55</f>
        <v>2.0512000000000001</v>
      </c>
      <c r="K18" s="485">
        <f>+Medical!N55</f>
        <v>0</v>
      </c>
      <c r="L18" s="485">
        <f>+Medical!O55</f>
        <v>0</v>
      </c>
    </row>
    <row r="19" spans="1:12">
      <c r="A19" s="530" t="s">
        <v>57</v>
      </c>
      <c r="B19" s="157">
        <f t="shared" si="3"/>
        <v>2019</v>
      </c>
      <c r="C19" s="485">
        <f>+Indemnity!K56</f>
        <v>0</v>
      </c>
      <c r="D19" s="485">
        <f>+Indemnity!L56</f>
        <v>0</v>
      </c>
      <c r="E19" s="485">
        <f>+Indemnity!M56</f>
        <v>3.0142000000000002</v>
      </c>
      <c r="F19" s="485">
        <f>+Indemnity!N56</f>
        <v>0</v>
      </c>
      <c r="G19" s="485">
        <f>+Indemnity!O56</f>
        <v>0</v>
      </c>
      <c r="H19" s="485">
        <f>+Medical!K56</f>
        <v>0</v>
      </c>
      <c r="I19" s="485">
        <f>+Medical!L56</f>
        <v>0</v>
      </c>
      <c r="J19" s="485">
        <f>+Medical!M56</f>
        <v>2.7488000000000001</v>
      </c>
      <c r="K19" s="485">
        <f>+Medical!N56</f>
        <v>0</v>
      </c>
      <c r="L19" s="485">
        <f>+Medical!O56</f>
        <v>0</v>
      </c>
    </row>
    <row r="20" spans="1:12">
      <c r="A20" s="157"/>
      <c r="B20" s="157"/>
      <c r="C20" s="484"/>
      <c r="D20" s="484"/>
      <c r="E20" s="484"/>
      <c r="F20" s="484"/>
      <c r="G20" s="484"/>
      <c r="H20" s="484"/>
      <c r="I20" s="484"/>
      <c r="J20" s="484"/>
      <c r="K20" s="484"/>
      <c r="L20" s="484"/>
    </row>
    <row r="21" spans="1:12">
      <c r="A21" s="530" t="s">
        <v>58</v>
      </c>
      <c r="B21" s="157">
        <f>B15</f>
        <v>2015</v>
      </c>
      <c r="C21" s="485">
        <f>+Indemnity!K59</f>
        <v>0</v>
      </c>
      <c r="D21" s="485">
        <f>+Indemnity!L59</f>
        <v>0</v>
      </c>
      <c r="E21" s="485">
        <f>+Indemnity!M59</f>
        <v>0</v>
      </c>
      <c r="F21" s="485">
        <f>+Indemnity!N59</f>
        <v>1.756</v>
      </c>
      <c r="G21" s="485">
        <f>+Indemnity!O59</f>
        <v>0</v>
      </c>
      <c r="H21" s="485">
        <f>+Medical!K59</f>
        <v>0</v>
      </c>
      <c r="I21" s="485">
        <f>+Medical!L59</f>
        <v>0</v>
      </c>
      <c r="J21" s="485">
        <f>+Medical!M59</f>
        <v>0</v>
      </c>
      <c r="K21" s="485">
        <f>+Medical!N59</f>
        <v>1.671</v>
      </c>
      <c r="L21" s="485">
        <f>+Medical!O59</f>
        <v>0</v>
      </c>
    </row>
    <row r="22" spans="1:12">
      <c r="A22" s="530" t="s">
        <v>58</v>
      </c>
      <c r="B22" s="157">
        <f t="shared" ref="B22:B25" si="4">B16</f>
        <v>2016</v>
      </c>
      <c r="C22" s="485">
        <f>+Indemnity!K60</f>
        <v>0</v>
      </c>
      <c r="D22" s="485">
        <f>+Indemnity!L60</f>
        <v>0</v>
      </c>
      <c r="E22" s="485">
        <f>+Indemnity!M60</f>
        <v>0</v>
      </c>
      <c r="F22" s="485">
        <f>+Indemnity!N60</f>
        <v>1.8464</v>
      </c>
      <c r="G22" s="485">
        <f>+Indemnity!O60</f>
        <v>0</v>
      </c>
      <c r="H22" s="485">
        <f>+Medical!K60</f>
        <v>0</v>
      </c>
      <c r="I22" s="485">
        <f>+Medical!L60</f>
        <v>0</v>
      </c>
      <c r="J22" s="485">
        <f>+Medical!M60</f>
        <v>0</v>
      </c>
      <c r="K22" s="485">
        <f>+Medical!N60</f>
        <v>1.7091000000000001</v>
      </c>
      <c r="L22" s="485">
        <f>+Medical!O60</f>
        <v>0</v>
      </c>
    </row>
    <row r="23" spans="1:12">
      <c r="A23" s="530" t="s">
        <v>58</v>
      </c>
      <c r="B23" s="157">
        <f t="shared" si="4"/>
        <v>2017</v>
      </c>
      <c r="C23" s="485">
        <f>+Indemnity!K61</f>
        <v>0</v>
      </c>
      <c r="D23" s="485">
        <f>+Indemnity!L61</f>
        <v>0</v>
      </c>
      <c r="E23" s="485">
        <f>+Indemnity!M61</f>
        <v>0</v>
      </c>
      <c r="F23" s="485">
        <f>+Indemnity!N61</f>
        <v>1.9956</v>
      </c>
      <c r="G23" s="485">
        <f>+Indemnity!O61</f>
        <v>0</v>
      </c>
      <c r="H23" s="485">
        <f>+Medical!K61</f>
        <v>0</v>
      </c>
      <c r="I23" s="485">
        <f>+Medical!L61</f>
        <v>0</v>
      </c>
      <c r="J23" s="485">
        <f>+Medical!M61</f>
        <v>0</v>
      </c>
      <c r="K23" s="485">
        <f>+Medical!N61</f>
        <v>1.8026</v>
      </c>
      <c r="L23" s="485">
        <f>+Medical!O61</f>
        <v>0</v>
      </c>
    </row>
    <row r="24" spans="1:12">
      <c r="A24" s="530" t="s">
        <v>58</v>
      </c>
      <c r="B24" s="157">
        <f t="shared" si="4"/>
        <v>2018</v>
      </c>
      <c r="C24" s="485">
        <f>+Indemnity!K62</f>
        <v>0</v>
      </c>
      <c r="D24" s="485">
        <f>+Indemnity!L62</f>
        <v>0</v>
      </c>
      <c r="E24" s="485">
        <f>+Indemnity!M62</f>
        <v>0</v>
      </c>
      <c r="F24" s="485">
        <f>+Indemnity!N62</f>
        <v>2.2766000000000002</v>
      </c>
      <c r="G24" s="485">
        <f>+Indemnity!O62</f>
        <v>0</v>
      </c>
      <c r="H24" s="485">
        <f>+Medical!K62</f>
        <v>0</v>
      </c>
      <c r="I24" s="485">
        <f>+Medical!L62</f>
        <v>0</v>
      </c>
      <c r="J24" s="485">
        <f>+Medical!M62</f>
        <v>0</v>
      </c>
      <c r="K24" s="485">
        <f>+Medical!N62</f>
        <v>2.0512000000000001</v>
      </c>
      <c r="L24" s="485">
        <f>+Medical!O62</f>
        <v>0</v>
      </c>
    </row>
    <row r="25" spans="1:12">
      <c r="A25" s="530" t="s">
        <v>58</v>
      </c>
      <c r="B25" s="157">
        <f t="shared" si="4"/>
        <v>2019</v>
      </c>
      <c r="C25" s="485">
        <f>+Indemnity!K63</f>
        <v>0</v>
      </c>
      <c r="D25" s="485">
        <f>+Indemnity!L63</f>
        <v>0</v>
      </c>
      <c r="E25" s="485">
        <f>+Indemnity!M63</f>
        <v>0</v>
      </c>
      <c r="F25" s="485">
        <f>+Indemnity!N63</f>
        <v>3.0142000000000002</v>
      </c>
      <c r="G25" s="485">
        <f>+Indemnity!O63</f>
        <v>0</v>
      </c>
      <c r="H25" s="485">
        <f>+Medical!K63</f>
        <v>0</v>
      </c>
      <c r="I25" s="485">
        <f>+Medical!L63</f>
        <v>0</v>
      </c>
      <c r="J25" s="485">
        <f>+Medical!M63</f>
        <v>0</v>
      </c>
      <c r="K25" s="485">
        <f>+Medical!N63</f>
        <v>2.7488000000000001</v>
      </c>
      <c r="L25" s="485">
        <f>+Medical!O63</f>
        <v>0</v>
      </c>
    </row>
    <row r="26" spans="1:12">
      <c r="A26" s="157"/>
      <c r="B26" s="530"/>
      <c r="C26" s="484"/>
      <c r="D26" s="484"/>
      <c r="E26" s="484"/>
      <c r="F26" s="484"/>
      <c r="G26" s="484"/>
      <c r="H26" s="484"/>
      <c r="I26" s="484"/>
      <c r="J26" s="484"/>
      <c r="K26" s="484"/>
      <c r="L26" s="484"/>
    </row>
    <row r="27" spans="1:12">
      <c r="A27" s="530" t="s">
        <v>59</v>
      </c>
      <c r="B27" s="157">
        <f>B21</f>
        <v>2015</v>
      </c>
      <c r="C27" s="485">
        <f>+Indemnity!K66</f>
        <v>0</v>
      </c>
      <c r="D27" s="485">
        <f>+Indemnity!L66</f>
        <v>0</v>
      </c>
      <c r="E27" s="485">
        <f>+Indemnity!M66</f>
        <v>0</v>
      </c>
      <c r="F27" s="485">
        <f>+Indemnity!N66</f>
        <v>0</v>
      </c>
      <c r="G27" s="485">
        <f>+Indemnity!O66</f>
        <v>1.756</v>
      </c>
      <c r="H27" s="485">
        <f>+Medical!K66</f>
        <v>0</v>
      </c>
      <c r="I27" s="485">
        <f>+Medical!L66</f>
        <v>0</v>
      </c>
      <c r="J27" s="485">
        <f>+Medical!M66</f>
        <v>0</v>
      </c>
      <c r="K27" s="485">
        <f>+Medical!N66</f>
        <v>0</v>
      </c>
      <c r="L27" s="485">
        <f>+Medical!O66</f>
        <v>1.671</v>
      </c>
    </row>
    <row r="28" spans="1:12">
      <c r="A28" s="530" t="s">
        <v>59</v>
      </c>
      <c r="B28" s="157">
        <f t="shared" ref="B28:B31" si="5">B22</f>
        <v>2016</v>
      </c>
      <c r="C28" s="485">
        <f>+Indemnity!K67</f>
        <v>0</v>
      </c>
      <c r="D28" s="485">
        <f>+Indemnity!L67</f>
        <v>0</v>
      </c>
      <c r="E28" s="485">
        <f>+Indemnity!M67</f>
        <v>0</v>
      </c>
      <c r="F28" s="485">
        <f>+Indemnity!N67</f>
        <v>0</v>
      </c>
      <c r="G28" s="485">
        <f>+Indemnity!O67</f>
        <v>1.8464</v>
      </c>
      <c r="H28" s="485">
        <f>+Medical!K67</f>
        <v>0</v>
      </c>
      <c r="I28" s="485">
        <f>+Medical!L67</f>
        <v>0</v>
      </c>
      <c r="J28" s="485">
        <f>+Medical!M67</f>
        <v>0</v>
      </c>
      <c r="K28" s="485">
        <f>+Medical!N67</f>
        <v>0</v>
      </c>
      <c r="L28" s="485">
        <f>+Medical!O67</f>
        <v>1.7091000000000001</v>
      </c>
    </row>
    <row r="29" spans="1:12">
      <c r="A29" s="530" t="s">
        <v>59</v>
      </c>
      <c r="B29" s="157">
        <f t="shared" si="5"/>
        <v>2017</v>
      </c>
      <c r="C29" s="485">
        <f>+Indemnity!K68</f>
        <v>0</v>
      </c>
      <c r="D29" s="485">
        <f>+Indemnity!L68</f>
        <v>0</v>
      </c>
      <c r="E29" s="485">
        <f>+Indemnity!M68</f>
        <v>0</v>
      </c>
      <c r="F29" s="485">
        <f>+Indemnity!N68</f>
        <v>0</v>
      </c>
      <c r="G29" s="485">
        <f>+Indemnity!O68</f>
        <v>1.9956</v>
      </c>
      <c r="H29" s="485">
        <f>+Medical!K68</f>
        <v>0</v>
      </c>
      <c r="I29" s="485">
        <f>+Medical!L68</f>
        <v>0</v>
      </c>
      <c r="J29" s="485">
        <f>+Medical!M68</f>
        <v>0</v>
      </c>
      <c r="K29" s="485">
        <f>+Medical!N68</f>
        <v>0</v>
      </c>
      <c r="L29" s="485">
        <f>+Medical!O68</f>
        <v>1.8026</v>
      </c>
    </row>
    <row r="30" spans="1:12">
      <c r="A30" s="530" t="s">
        <v>59</v>
      </c>
      <c r="B30" s="157">
        <f t="shared" si="5"/>
        <v>2018</v>
      </c>
      <c r="C30" s="485">
        <f>+Indemnity!K69</f>
        <v>0</v>
      </c>
      <c r="D30" s="485">
        <f>+Indemnity!L69</f>
        <v>0</v>
      </c>
      <c r="E30" s="485">
        <f>+Indemnity!M69</f>
        <v>0</v>
      </c>
      <c r="F30" s="485">
        <f>+Indemnity!N69</f>
        <v>0</v>
      </c>
      <c r="G30" s="485">
        <f>+Indemnity!O69</f>
        <v>2.2766000000000002</v>
      </c>
      <c r="H30" s="485">
        <f>+Medical!K69</f>
        <v>0</v>
      </c>
      <c r="I30" s="485">
        <f>+Medical!L69</f>
        <v>0</v>
      </c>
      <c r="J30" s="485">
        <f>+Medical!M69</f>
        <v>0</v>
      </c>
      <c r="K30" s="485">
        <f>+Medical!N69</f>
        <v>0</v>
      </c>
      <c r="L30" s="485">
        <f>+Medical!O69</f>
        <v>2.0512000000000001</v>
      </c>
    </row>
    <row r="31" spans="1:12">
      <c r="A31" s="530" t="s">
        <v>59</v>
      </c>
      <c r="B31" s="157">
        <f t="shared" si="5"/>
        <v>2019</v>
      </c>
      <c r="C31" s="485">
        <f>+Indemnity!K70</f>
        <v>0</v>
      </c>
      <c r="D31" s="485">
        <f>+Indemnity!L70</f>
        <v>0</v>
      </c>
      <c r="E31" s="485">
        <f>+Indemnity!M70</f>
        <v>0</v>
      </c>
      <c r="F31" s="485">
        <f>+Indemnity!N70</f>
        <v>0</v>
      </c>
      <c r="G31" s="485">
        <f>+Indemnity!O70</f>
        <v>3.0142000000000002</v>
      </c>
      <c r="H31" s="485">
        <f>+Medical!K70</f>
        <v>0</v>
      </c>
      <c r="I31" s="485">
        <f>+Medical!L70</f>
        <v>0</v>
      </c>
      <c r="J31" s="485">
        <f>+Medical!M70</f>
        <v>0</v>
      </c>
      <c r="K31" s="485">
        <f>+Medical!N70</f>
        <v>0</v>
      </c>
      <c r="L31" s="485">
        <f>+Medical!O70</f>
        <v>2.7488000000000001</v>
      </c>
    </row>
    <row r="32" spans="1:12">
      <c r="A32" s="157"/>
      <c r="B32" s="157"/>
      <c r="C32" s="525"/>
      <c r="D32" s="525"/>
      <c r="E32" s="525"/>
      <c r="F32" s="525"/>
      <c r="G32" s="525"/>
      <c r="H32" s="525"/>
      <c r="I32" s="525"/>
      <c r="J32" s="525"/>
      <c r="K32" s="525"/>
      <c r="L32" s="525"/>
    </row>
    <row r="33" spans="3:12">
      <c r="C33" s="531"/>
      <c r="D33" s="531"/>
      <c r="E33" s="531"/>
      <c r="F33" s="531"/>
      <c r="G33" s="531"/>
      <c r="H33" s="531"/>
      <c r="I33" s="531"/>
      <c r="J33" s="531"/>
      <c r="K33" s="531"/>
      <c r="L33" s="531"/>
    </row>
  </sheetData>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E61F074-EE2E-458C-8281-A104B480F980}">
  <sheetPr codeName="Sheet31">
    <tabColor rgb="FFFF0000"/>
  </sheetPr>
  <dimension ref="A1:S460"/>
  <sheetViews>
    <sheetView workbookViewId="0">
      <selection activeCell="M34" sqref="M34"/>
    </sheetView>
  </sheetViews>
  <sheetFormatPr defaultRowHeight="11.15"/>
  <cols>
    <col min="1" max="1" width="5.69921875" bestFit="1" customWidth="1"/>
    <col min="2" max="2" width="5.796875" style="3" bestFit="1" customWidth="1"/>
    <col min="4" max="4" width="14.69921875" bestFit="1" customWidth="1"/>
    <col min="5" max="5" width="2.296875" bestFit="1" customWidth="1"/>
    <col min="9" max="9" width="10.5" bestFit="1" customWidth="1"/>
    <col min="11" max="11" width="10.5" bestFit="1" customWidth="1"/>
    <col min="12" max="12" width="8.19921875" bestFit="1" customWidth="1"/>
    <col min="14" max="14" width="7" bestFit="1" customWidth="1"/>
    <col min="16" max="16" width="10.5" bestFit="1" customWidth="1"/>
  </cols>
  <sheetData>
    <row r="1" spans="1:19">
      <c r="A1" t="s">
        <v>72</v>
      </c>
      <c r="B1" s="3" t="s">
        <v>71</v>
      </c>
      <c r="C1" t="s">
        <v>75</v>
      </c>
      <c r="D1" t="s">
        <v>74</v>
      </c>
      <c r="F1" t="s">
        <v>62</v>
      </c>
      <c r="G1" t="s">
        <v>73</v>
      </c>
      <c r="H1" t="s">
        <v>63</v>
      </c>
      <c r="I1" t="s">
        <v>64</v>
      </c>
      <c r="J1" t="s">
        <v>65</v>
      </c>
      <c r="K1" t="s">
        <v>66</v>
      </c>
      <c r="L1" t="s">
        <v>67</v>
      </c>
      <c r="M1" t="s">
        <v>68</v>
      </c>
      <c r="N1" t="s">
        <v>69</v>
      </c>
      <c r="O1" t="s">
        <v>70</v>
      </c>
      <c r="P1" t="s">
        <v>76</v>
      </c>
      <c r="S1" s="173" t="s">
        <v>614</v>
      </c>
    </row>
    <row r="2" spans="1:19">
      <c r="A2">
        <v>2017</v>
      </c>
      <c r="B2" t="s">
        <v>594</v>
      </c>
      <c r="C2">
        <v>3144963</v>
      </c>
      <c r="D2" t="s">
        <v>613</v>
      </c>
      <c r="E2">
        <v>3</v>
      </c>
      <c r="F2">
        <v>0</v>
      </c>
      <c r="G2">
        <v>0</v>
      </c>
      <c r="H2">
        <v>0</v>
      </c>
      <c r="I2">
        <v>0</v>
      </c>
      <c r="J2">
        <v>252605</v>
      </c>
      <c r="K2">
        <v>251819</v>
      </c>
      <c r="L2">
        <v>0</v>
      </c>
      <c r="M2">
        <v>0</v>
      </c>
      <c r="N2">
        <v>0</v>
      </c>
      <c r="O2">
        <v>0</v>
      </c>
      <c r="P2">
        <v>504424</v>
      </c>
    </row>
    <row r="209" spans="2:2">
      <c r="B209"/>
    </row>
    <row r="210" spans="2:2">
      <c r="B210"/>
    </row>
    <row r="211" spans="2:2">
      <c r="B211"/>
    </row>
    <row r="212" spans="2:2">
      <c r="B212"/>
    </row>
    <row r="213" spans="2:2">
      <c r="B213"/>
    </row>
    <row r="214" spans="2:2">
      <c r="B214"/>
    </row>
    <row r="215" spans="2:2">
      <c r="B215"/>
    </row>
    <row r="216" spans="2:2">
      <c r="B216"/>
    </row>
    <row r="217" spans="2:2">
      <c r="B217"/>
    </row>
    <row r="218" spans="2:2">
      <c r="B218"/>
    </row>
    <row r="219" spans="2:2">
      <c r="B219"/>
    </row>
    <row r="220" spans="2:2">
      <c r="B220"/>
    </row>
    <row r="221" spans="2:2">
      <c r="B221"/>
    </row>
    <row r="222" spans="2:2">
      <c r="B222"/>
    </row>
    <row r="223" spans="2:2">
      <c r="B223"/>
    </row>
    <row r="224" spans="2:2">
      <c r="B224"/>
    </row>
    <row r="225" spans="2:2">
      <c r="B225"/>
    </row>
    <row r="226" spans="2:2">
      <c r="B226"/>
    </row>
    <row r="227" spans="2:2">
      <c r="B227"/>
    </row>
    <row r="228" spans="2:2">
      <c r="B228"/>
    </row>
    <row r="229" spans="2:2">
      <c r="B229"/>
    </row>
    <row r="230" spans="2:2">
      <c r="B230"/>
    </row>
    <row r="231" spans="2:2">
      <c r="B231"/>
    </row>
    <row r="232" spans="2:2">
      <c r="B232"/>
    </row>
    <row r="233" spans="2:2">
      <c r="B233"/>
    </row>
    <row r="234" spans="2:2">
      <c r="B234"/>
    </row>
    <row r="235" spans="2:2">
      <c r="B235"/>
    </row>
    <row r="236" spans="2:2">
      <c r="B236"/>
    </row>
    <row r="237" spans="2:2">
      <c r="B237"/>
    </row>
    <row r="238" spans="2:2">
      <c r="B238"/>
    </row>
    <row r="239" spans="2:2">
      <c r="B239"/>
    </row>
    <row r="240" spans="2:2">
      <c r="B240"/>
    </row>
    <row r="241" spans="2:2">
      <c r="B241"/>
    </row>
    <row r="242" spans="2:2">
      <c r="B242"/>
    </row>
    <row r="243" spans="2:2">
      <c r="B243"/>
    </row>
    <row r="244" spans="2:2">
      <c r="B244"/>
    </row>
    <row r="245" spans="2:2">
      <c r="B245"/>
    </row>
    <row r="246" spans="2:2">
      <c r="B246"/>
    </row>
    <row r="247" spans="2:2">
      <c r="B247"/>
    </row>
    <row r="248" spans="2:2">
      <c r="B248"/>
    </row>
    <row r="249" spans="2:2">
      <c r="B249"/>
    </row>
    <row r="250" spans="2:2">
      <c r="B250"/>
    </row>
    <row r="251" spans="2:2">
      <c r="B251"/>
    </row>
    <row r="252" spans="2:2">
      <c r="B252"/>
    </row>
    <row r="253" spans="2:2">
      <c r="B253"/>
    </row>
    <row r="254" spans="2:2">
      <c r="B254"/>
    </row>
    <row r="255" spans="2:2">
      <c r="B255"/>
    </row>
    <row r="256" spans="2:2">
      <c r="B256"/>
    </row>
    <row r="257" spans="2:2">
      <c r="B257"/>
    </row>
    <row r="258" spans="2:2">
      <c r="B258"/>
    </row>
    <row r="259" spans="2:2">
      <c r="B259"/>
    </row>
    <row r="260" spans="2:2">
      <c r="B260"/>
    </row>
    <row r="261" spans="2:2">
      <c r="B261"/>
    </row>
    <row r="262" spans="2:2">
      <c r="B262"/>
    </row>
    <row r="263" spans="2:2">
      <c r="B263"/>
    </row>
    <row r="264" spans="2:2">
      <c r="B264"/>
    </row>
    <row r="265" spans="2:2">
      <c r="B265"/>
    </row>
    <row r="266" spans="2:2">
      <c r="B266"/>
    </row>
    <row r="267" spans="2:2">
      <c r="B267"/>
    </row>
    <row r="268" spans="2:2">
      <c r="B268"/>
    </row>
    <row r="269" spans="2:2">
      <c r="B269"/>
    </row>
    <row r="270" spans="2:2">
      <c r="B270"/>
    </row>
    <row r="271" spans="2:2">
      <c r="B271"/>
    </row>
    <row r="272" spans="2:2">
      <c r="B272"/>
    </row>
    <row r="273" spans="2:2">
      <c r="B273"/>
    </row>
    <row r="274" spans="2:2">
      <c r="B274"/>
    </row>
    <row r="275" spans="2:2">
      <c r="B275"/>
    </row>
    <row r="276" spans="2:2">
      <c r="B276"/>
    </row>
    <row r="277" spans="2:2">
      <c r="B277"/>
    </row>
    <row r="278" spans="2:2">
      <c r="B278"/>
    </row>
    <row r="279" spans="2:2">
      <c r="B279"/>
    </row>
    <row r="280" spans="2:2">
      <c r="B280"/>
    </row>
    <row r="281" spans="2:2">
      <c r="B281"/>
    </row>
    <row r="282" spans="2:2">
      <c r="B282"/>
    </row>
    <row r="283" spans="2:2">
      <c r="B283"/>
    </row>
    <row r="284" spans="2:2">
      <c r="B284"/>
    </row>
    <row r="285" spans="2:2">
      <c r="B285"/>
    </row>
    <row r="286" spans="2:2">
      <c r="B286"/>
    </row>
    <row r="287" spans="2:2">
      <c r="B287"/>
    </row>
    <row r="288" spans="2:2">
      <c r="B288"/>
    </row>
    <row r="289" spans="2:2">
      <c r="B289"/>
    </row>
    <row r="290" spans="2:2">
      <c r="B290"/>
    </row>
    <row r="291" spans="2:2">
      <c r="B291"/>
    </row>
    <row r="292" spans="2:2">
      <c r="B292"/>
    </row>
    <row r="293" spans="2:2">
      <c r="B293"/>
    </row>
    <row r="294" spans="2:2">
      <c r="B294"/>
    </row>
    <row r="295" spans="2:2">
      <c r="B295"/>
    </row>
    <row r="296" spans="2:2">
      <c r="B296"/>
    </row>
    <row r="297" spans="2:2">
      <c r="B297"/>
    </row>
    <row r="298" spans="2:2">
      <c r="B298"/>
    </row>
    <row r="299" spans="2:2">
      <c r="B299"/>
    </row>
    <row r="300" spans="2:2">
      <c r="B300"/>
    </row>
    <row r="301" spans="2:2">
      <c r="B301"/>
    </row>
    <row r="302" spans="2:2">
      <c r="B302"/>
    </row>
    <row r="303" spans="2:2">
      <c r="B303"/>
    </row>
    <row r="304" spans="2:2">
      <c r="B304"/>
    </row>
    <row r="305" spans="2:2">
      <c r="B305"/>
    </row>
    <row r="306" spans="2:2">
      <c r="B306"/>
    </row>
    <row r="307" spans="2:2">
      <c r="B307"/>
    </row>
    <row r="308" spans="2:2">
      <c r="B308"/>
    </row>
    <row r="309" spans="2:2">
      <c r="B309"/>
    </row>
    <row r="310" spans="2:2">
      <c r="B310"/>
    </row>
    <row r="311" spans="2:2">
      <c r="B311"/>
    </row>
    <row r="312" spans="2:2">
      <c r="B312"/>
    </row>
    <row r="313" spans="2:2">
      <c r="B313"/>
    </row>
    <row r="314" spans="2:2">
      <c r="B314"/>
    </row>
    <row r="315" spans="2:2">
      <c r="B315"/>
    </row>
    <row r="316" spans="2:2">
      <c r="B316"/>
    </row>
    <row r="317" spans="2:2">
      <c r="B317"/>
    </row>
    <row r="318" spans="2:2">
      <c r="B318"/>
    </row>
    <row r="319" spans="2:2">
      <c r="B319"/>
    </row>
    <row r="320" spans="2:2">
      <c r="B320"/>
    </row>
    <row r="321" spans="2:2">
      <c r="B321"/>
    </row>
    <row r="322" spans="2:2">
      <c r="B322"/>
    </row>
    <row r="323" spans="2:2">
      <c r="B323"/>
    </row>
    <row r="324" spans="2:2">
      <c r="B324"/>
    </row>
    <row r="325" spans="2:2">
      <c r="B325"/>
    </row>
    <row r="326" spans="2:2">
      <c r="B326"/>
    </row>
    <row r="327" spans="2:2">
      <c r="B327"/>
    </row>
    <row r="328" spans="2:2">
      <c r="B328"/>
    </row>
    <row r="329" spans="2:2">
      <c r="B329"/>
    </row>
    <row r="330" spans="2:2">
      <c r="B330"/>
    </row>
    <row r="331" spans="2:2">
      <c r="B331"/>
    </row>
    <row r="332" spans="2:2">
      <c r="B332"/>
    </row>
    <row r="333" spans="2:2">
      <c r="B333"/>
    </row>
    <row r="334" spans="2:2">
      <c r="B334"/>
    </row>
    <row r="335" spans="2:2">
      <c r="B335"/>
    </row>
    <row r="336" spans="2:2">
      <c r="B336"/>
    </row>
    <row r="337" spans="2:2">
      <c r="B337"/>
    </row>
    <row r="338" spans="2:2">
      <c r="B338"/>
    </row>
    <row r="339" spans="2:2">
      <c r="B339"/>
    </row>
    <row r="340" spans="2:2">
      <c r="B340"/>
    </row>
    <row r="341" spans="2:2">
      <c r="B341"/>
    </row>
    <row r="342" spans="2:2">
      <c r="B342"/>
    </row>
    <row r="343" spans="2:2">
      <c r="B343"/>
    </row>
    <row r="344" spans="2:2">
      <c r="B344"/>
    </row>
    <row r="345" spans="2:2">
      <c r="B345"/>
    </row>
    <row r="346" spans="2:2">
      <c r="B346"/>
    </row>
    <row r="347" spans="2:2">
      <c r="B347"/>
    </row>
    <row r="348" spans="2:2">
      <c r="B348"/>
    </row>
    <row r="349" spans="2:2">
      <c r="B349"/>
    </row>
    <row r="350" spans="2:2">
      <c r="B350"/>
    </row>
    <row r="351" spans="2:2">
      <c r="B351"/>
    </row>
    <row r="352" spans="2:2">
      <c r="B352"/>
    </row>
    <row r="353" spans="2:2">
      <c r="B353"/>
    </row>
    <row r="354" spans="2:2">
      <c r="B354"/>
    </row>
    <row r="355" spans="2:2">
      <c r="B355"/>
    </row>
    <row r="356" spans="2:2">
      <c r="B356"/>
    </row>
    <row r="357" spans="2:2">
      <c r="B357"/>
    </row>
    <row r="358" spans="2:2">
      <c r="B358"/>
    </row>
    <row r="359" spans="2:2">
      <c r="B359"/>
    </row>
    <row r="360" spans="2:2">
      <c r="B360"/>
    </row>
    <row r="361" spans="2:2">
      <c r="B361"/>
    </row>
    <row r="362" spans="2:2">
      <c r="B362"/>
    </row>
    <row r="363" spans="2:2">
      <c r="B363"/>
    </row>
    <row r="364" spans="2:2">
      <c r="B364"/>
    </row>
    <row r="365" spans="2:2">
      <c r="B365"/>
    </row>
    <row r="366" spans="2:2">
      <c r="B366"/>
    </row>
    <row r="367" spans="2:2">
      <c r="B367"/>
    </row>
    <row r="368" spans="2:2">
      <c r="B368"/>
    </row>
    <row r="369" spans="2:2">
      <c r="B369"/>
    </row>
    <row r="370" spans="2:2">
      <c r="B370"/>
    </row>
    <row r="371" spans="2:2">
      <c r="B371"/>
    </row>
    <row r="372" spans="2:2">
      <c r="B372"/>
    </row>
    <row r="373" spans="2:2">
      <c r="B373"/>
    </row>
    <row r="374" spans="2:2">
      <c r="B374"/>
    </row>
    <row r="375" spans="2:2">
      <c r="B375"/>
    </row>
    <row r="376" spans="2:2">
      <c r="B376"/>
    </row>
    <row r="377" spans="2:2">
      <c r="B377"/>
    </row>
    <row r="378" spans="2:2">
      <c r="B378"/>
    </row>
    <row r="379" spans="2:2">
      <c r="B379"/>
    </row>
    <row r="380" spans="2:2">
      <c r="B380"/>
    </row>
    <row r="381" spans="2:2">
      <c r="B381"/>
    </row>
    <row r="382" spans="2:2">
      <c r="B382"/>
    </row>
    <row r="383" spans="2:2">
      <c r="B383"/>
    </row>
    <row r="384" spans="2:2">
      <c r="B384"/>
    </row>
    <row r="385" spans="2:2">
      <c r="B385"/>
    </row>
    <row r="386" spans="2:2">
      <c r="B386"/>
    </row>
    <row r="387" spans="2:2">
      <c r="B387"/>
    </row>
    <row r="388" spans="2:2">
      <c r="B388"/>
    </row>
    <row r="389" spans="2:2">
      <c r="B389"/>
    </row>
    <row r="390" spans="2:2">
      <c r="B390"/>
    </row>
    <row r="391" spans="2:2">
      <c r="B391"/>
    </row>
    <row r="392" spans="2:2">
      <c r="B392"/>
    </row>
    <row r="393" spans="2:2">
      <c r="B393"/>
    </row>
    <row r="394" spans="2:2">
      <c r="B394"/>
    </row>
    <row r="395" spans="2:2">
      <c r="B395"/>
    </row>
    <row r="396" spans="2:2">
      <c r="B396"/>
    </row>
    <row r="397" spans="2:2">
      <c r="B397"/>
    </row>
    <row r="398" spans="2:2">
      <c r="B398"/>
    </row>
    <row r="399" spans="2:2">
      <c r="B399"/>
    </row>
    <row r="400" spans="2:2">
      <c r="B400"/>
    </row>
    <row r="401" spans="2:2">
      <c r="B401"/>
    </row>
    <row r="402" spans="2:2">
      <c r="B402"/>
    </row>
    <row r="403" spans="2:2">
      <c r="B403"/>
    </row>
    <row r="404" spans="2:2">
      <c r="B404"/>
    </row>
    <row r="405" spans="2:2">
      <c r="B405"/>
    </row>
    <row r="406" spans="2:2">
      <c r="B406"/>
    </row>
    <row r="407" spans="2:2">
      <c r="B407"/>
    </row>
    <row r="408" spans="2:2">
      <c r="B408"/>
    </row>
    <row r="409" spans="2:2">
      <c r="B409"/>
    </row>
    <row r="410" spans="2:2">
      <c r="B410"/>
    </row>
    <row r="411" spans="2:2">
      <c r="B411"/>
    </row>
    <row r="412" spans="2:2">
      <c r="B412"/>
    </row>
    <row r="413" spans="2:2">
      <c r="B413"/>
    </row>
    <row r="414" spans="2:2">
      <c r="B414"/>
    </row>
    <row r="415" spans="2:2">
      <c r="B415"/>
    </row>
    <row r="416" spans="2:2">
      <c r="B416"/>
    </row>
    <row r="417" spans="2:2">
      <c r="B417"/>
    </row>
    <row r="418" spans="2:2">
      <c r="B418"/>
    </row>
    <row r="419" spans="2:2">
      <c r="B419"/>
    </row>
    <row r="420" spans="2:2">
      <c r="B420"/>
    </row>
    <row r="421" spans="2:2">
      <c r="B421"/>
    </row>
    <row r="422" spans="2:2">
      <c r="B422"/>
    </row>
    <row r="423" spans="2:2">
      <c r="B423"/>
    </row>
    <row r="424" spans="2:2">
      <c r="B424"/>
    </row>
    <row r="425" spans="2:2">
      <c r="B425"/>
    </row>
    <row r="426" spans="2:2">
      <c r="B426"/>
    </row>
    <row r="427" spans="2:2">
      <c r="B427"/>
    </row>
    <row r="428" spans="2:2">
      <c r="B428"/>
    </row>
    <row r="429" spans="2:2">
      <c r="B429"/>
    </row>
    <row r="430" spans="2:2">
      <c r="B430"/>
    </row>
    <row r="431" spans="2:2">
      <c r="B431"/>
    </row>
    <row r="432" spans="2:2">
      <c r="B432"/>
    </row>
    <row r="433" spans="2:2">
      <c r="B433"/>
    </row>
    <row r="434" spans="2:2">
      <c r="B434"/>
    </row>
    <row r="435" spans="2:2">
      <c r="B435"/>
    </row>
    <row r="436" spans="2:2">
      <c r="B436"/>
    </row>
    <row r="437" spans="2:2">
      <c r="B437"/>
    </row>
    <row r="438" spans="2:2">
      <c r="B438"/>
    </row>
    <row r="439" spans="2:2">
      <c r="B439"/>
    </row>
    <row r="440" spans="2:2">
      <c r="B440"/>
    </row>
    <row r="441" spans="2:2">
      <c r="B441"/>
    </row>
    <row r="442" spans="2:2">
      <c r="B442"/>
    </row>
    <row r="443" spans="2:2">
      <c r="B443"/>
    </row>
    <row r="444" spans="2:2">
      <c r="B444"/>
    </row>
    <row r="445" spans="2:2">
      <c r="B445"/>
    </row>
    <row r="446" spans="2:2">
      <c r="B446"/>
    </row>
    <row r="447" spans="2:2">
      <c r="B447"/>
    </row>
    <row r="448" spans="2:2">
      <c r="B448"/>
    </row>
    <row r="449" spans="2:2">
      <c r="B449"/>
    </row>
    <row r="450" spans="2:2">
      <c r="B450"/>
    </row>
    <row r="451" spans="2:2">
      <c r="B451"/>
    </row>
    <row r="452" spans="2:2">
      <c r="B452"/>
    </row>
    <row r="453" spans="2:2">
      <c r="B453"/>
    </row>
    <row r="454" spans="2:2">
      <c r="B454"/>
    </row>
    <row r="455" spans="2:2">
      <c r="B455"/>
    </row>
    <row r="456" spans="2:2">
      <c r="B456"/>
    </row>
    <row r="457" spans="2:2">
      <c r="B457"/>
    </row>
    <row r="458" spans="2:2">
      <c r="B458"/>
    </row>
    <row r="459" spans="2:2">
      <c r="B459"/>
    </row>
    <row r="460" spans="2:2">
      <c r="B460"/>
    </row>
  </sheetData>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6B12FC5-ADEF-444B-B071-706B2E24C6A3}">
  <sheetPr codeName="Sheet32">
    <tabColor rgb="FFFF0000"/>
  </sheetPr>
  <dimension ref="A1:S17"/>
  <sheetViews>
    <sheetView workbookViewId="0">
      <selection activeCell="M34" sqref="M34"/>
    </sheetView>
  </sheetViews>
  <sheetFormatPr defaultRowHeight="11.15"/>
  <sheetData>
    <row r="1" spans="1:19">
      <c r="A1" t="s">
        <v>72</v>
      </c>
      <c r="B1" s="3" t="s">
        <v>71</v>
      </c>
      <c r="C1" t="s">
        <v>75</v>
      </c>
      <c r="D1" t="s">
        <v>74</v>
      </c>
      <c r="F1" t="s">
        <v>62</v>
      </c>
      <c r="G1" t="s">
        <v>73</v>
      </c>
      <c r="H1" t="s">
        <v>63</v>
      </c>
      <c r="I1" t="s">
        <v>64</v>
      </c>
      <c r="J1" t="s">
        <v>65</v>
      </c>
      <c r="K1" t="s">
        <v>66</v>
      </c>
      <c r="L1" t="s">
        <v>67</v>
      </c>
      <c r="M1" t="s">
        <v>68</v>
      </c>
      <c r="N1" t="s">
        <v>69</v>
      </c>
      <c r="O1" t="s">
        <v>70</v>
      </c>
      <c r="P1" t="s">
        <v>76</v>
      </c>
      <c r="S1" s="173" t="s">
        <v>301</v>
      </c>
    </row>
    <row r="2" spans="1:19" ht="10.5" customHeight="1"/>
    <row r="3" spans="1:19" ht="10.5" customHeight="1"/>
    <row r="4" spans="1:19" ht="10.5" customHeight="1"/>
    <row r="5" spans="1:19" ht="10.5" customHeight="1"/>
    <row r="6" spans="1:19" ht="10.5" customHeight="1"/>
    <row r="7" spans="1:19" ht="10.5" customHeight="1"/>
    <row r="8" spans="1:19" ht="10.5" customHeight="1"/>
    <row r="9" spans="1:19" ht="10.5" customHeight="1"/>
    <row r="10" spans="1:19" ht="10.5" customHeight="1"/>
    <row r="11" spans="1:19" ht="10.5" customHeight="1"/>
    <row r="12" spans="1:19" ht="10.5" customHeight="1"/>
    <row r="13" spans="1:19" ht="10.5" customHeight="1"/>
    <row r="14" spans="1:19" ht="10.5" customHeight="1"/>
    <row r="15" spans="1:19" ht="10.5" customHeight="1"/>
    <row r="16" spans="1:19" ht="10.5" customHeight="1"/>
    <row r="17" spans="1:17" ht="10.5" customHeight="1">
      <c r="A17" s="4"/>
      <c r="B17" s="5"/>
      <c r="C17" s="4"/>
      <c r="D17" s="4"/>
      <c r="E17" s="4"/>
      <c r="F17" s="4"/>
      <c r="G17" s="4"/>
      <c r="H17" s="4"/>
      <c r="I17" s="4"/>
      <c r="J17" s="4"/>
      <c r="K17" s="4"/>
      <c r="L17" s="4"/>
      <c r="M17" s="4"/>
      <c r="N17" s="4"/>
      <c r="O17" s="4"/>
      <c r="P17" s="4"/>
      <c r="Q17" s="4"/>
    </row>
  </sheetData>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4B91402-9AD0-488D-BF23-1B23CA1E6DAE}">
  <sheetPr codeName="Sheet17">
    <tabColor rgb="FFFF0000"/>
  </sheetPr>
  <dimension ref="A1:AE226"/>
  <sheetViews>
    <sheetView workbookViewId="0">
      <selection activeCell="M34" sqref="M34"/>
    </sheetView>
  </sheetViews>
  <sheetFormatPr defaultRowHeight="11.15"/>
  <cols>
    <col min="17" max="17" width="10.796875" bestFit="1" customWidth="1"/>
    <col min="20" max="20" width="15.19921875" bestFit="1" customWidth="1"/>
    <col min="21" max="21" width="6.796875" bestFit="1" customWidth="1"/>
    <col min="22" max="22" width="18.296875" bestFit="1" customWidth="1"/>
    <col min="23" max="23" width="14.296875" bestFit="1" customWidth="1"/>
    <col min="24" max="25" width="15.796875" bestFit="1" customWidth="1"/>
    <col min="26" max="26" width="15.19921875" bestFit="1" customWidth="1"/>
    <col min="27" max="27" width="19.296875" bestFit="1" customWidth="1"/>
    <col min="28" max="28" width="15.296875" bestFit="1" customWidth="1"/>
    <col min="29" max="30" width="16.796875" bestFit="1" customWidth="1"/>
    <col min="31" max="31" width="16.19921875" bestFit="1" customWidth="1"/>
  </cols>
  <sheetData>
    <row r="1" spans="1:31">
      <c r="A1" t="s">
        <v>72</v>
      </c>
      <c r="B1" t="s">
        <v>71</v>
      </c>
      <c r="C1" t="s">
        <v>75</v>
      </c>
      <c r="D1" t="s">
        <v>74</v>
      </c>
      <c r="E1" t="s">
        <v>278</v>
      </c>
      <c r="F1" t="s">
        <v>62</v>
      </c>
      <c r="G1" t="s">
        <v>73</v>
      </c>
      <c r="H1" t="s">
        <v>63</v>
      </c>
      <c r="I1" t="s">
        <v>64</v>
      </c>
      <c r="J1" t="s">
        <v>65</v>
      </c>
      <c r="K1" t="s">
        <v>66</v>
      </c>
      <c r="L1" t="s">
        <v>67</v>
      </c>
      <c r="M1" t="s">
        <v>68</v>
      </c>
      <c r="N1" t="s">
        <v>69</v>
      </c>
      <c r="O1" t="s">
        <v>70</v>
      </c>
      <c r="P1" t="s">
        <v>76</v>
      </c>
      <c r="Q1" t="s">
        <v>279</v>
      </c>
      <c r="R1" t="s">
        <v>235</v>
      </c>
      <c r="T1" s="90" t="s">
        <v>278</v>
      </c>
      <c r="U1" s="91">
        <v>3</v>
      </c>
    </row>
    <row r="2" spans="1:31">
      <c r="A2">
        <v>2017</v>
      </c>
      <c r="B2" t="s">
        <v>594</v>
      </c>
      <c r="C2">
        <v>3144963</v>
      </c>
      <c r="D2" t="s">
        <v>613</v>
      </c>
      <c r="E2">
        <v>3</v>
      </c>
      <c r="F2">
        <v>0</v>
      </c>
      <c r="G2">
        <v>0</v>
      </c>
      <c r="H2">
        <v>0</v>
      </c>
      <c r="I2">
        <v>0</v>
      </c>
      <c r="J2">
        <v>252605</v>
      </c>
      <c r="K2">
        <v>251819</v>
      </c>
      <c r="L2">
        <v>0</v>
      </c>
      <c r="M2">
        <v>0</v>
      </c>
      <c r="N2">
        <v>0</v>
      </c>
      <c r="O2">
        <v>0</v>
      </c>
      <c r="P2">
        <v>504424</v>
      </c>
      <c r="R2" s="313" t="str">
        <f>+VALUE(B2)&amp;"f"</f>
        <v>6843f</v>
      </c>
    </row>
    <row r="3" spans="1:31">
      <c r="B3" s="3"/>
      <c r="R3" s="313" t="str">
        <f t="shared" ref="R3:R66" si="0">+VALUE(B3)&amp;"f"</f>
        <v>0f</v>
      </c>
      <c r="T3" s="90" t="s">
        <v>235</v>
      </c>
      <c r="U3" s="90" t="s">
        <v>72</v>
      </c>
      <c r="V3" t="s">
        <v>280</v>
      </c>
      <c r="W3" t="s">
        <v>281</v>
      </c>
      <c r="X3" t="s">
        <v>282</v>
      </c>
      <c r="Y3" t="s">
        <v>283</v>
      </c>
      <c r="Z3" t="s">
        <v>284</v>
      </c>
      <c r="AA3" t="s">
        <v>285</v>
      </c>
      <c r="AB3" t="s">
        <v>286</v>
      </c>
      <c r="AC3" t="s">
        <v>287</v>
      </c>
      <c r="AD3" t="s">
        <v>288</v>
      </c>
      <c r="AE3" t="s">
        <v>289</v>
      </c>
    </row>
    <row r="4" spans="1:31">
      <c r="B4" s="3"/>
      <c r="R4" s="313" t="str">
        <f t="shared" si="0"/>
        <v>0f</v>
      </c>
      <c r="T4" t="s">
        <v>579</v>
      </c>
      <c r="U4">
        <v>2017</v>
      </c>
      <c r="V4">
        <v>0</v>
      </c>
      <c r="W4">
        <v>0</v>
      </c>
      <c r="X4">
        <v>252605</v>
      </c>
      <c r="Y4">
        <v>0</v>
      </c>
      <c r="Z4">
        <v>0</v>
      </c>
      <c r="AA4">
        <v>0</v>
      </c>
      <c r="AB4">
        <v>0</v>
      </c>
      <c r="AC4">
        <v>251819</v>
      </c>
      <c r="AD4">
        <v>0</v>
      </c>
      <c r="AE4">
        <v>0</v>
      </c>
    </row>
    <row r="5" spans="1:31">
      <c r="B5" s="3"/>
      <c r="R5" s="313" t="str">
        <f t="shared" si="0"/>
        <v>0f</v>
      </c>
    </row>
    <row r="6" spans="1:31">
      <c r="B6" s="3"/>
      <c r="R6" s="313" t="str">
        <f t="shared" si="0"/>
        <v>0f</v>
      </c>
    </row>
    <row r="7" spans="1:31">
      <c r="B7" s="3"/>
      <c r="R7" s="313" t="str">
        <f t="shared" si="0"/>
        <v>0f</v>
      </c>
    </row>
    <row r="8" spans="1:31">
      <c r="B8" s="3"/>
      <c r="R8" s="313" t="str">
        <f t="shared" si="0"/>
        <v>0f</v>
      </c>
    </row>
    <row r="9" spans="1:31">
      <c r="B9" s="3"/>
      <c r="R9" s="313" t="str">
        <f t="shared" si="0"/>
        <v>0f</v>
      </c>
    </row>
    <row r="10" spans="1:31">
      <c r="B10" s="3"/>
      <c r="R10" s="313" t="str">
        <f t="shared" si="0"/>
        <v>0f</v>
      </c>
    </row>
    <row r="11" spans="1:31">
      <c r="B11" s="3"/>
      <c r="R11" s="313" t="str">
        <f t="shared" si="0"/>
        <v>0f</v>
      </c>
    </row>
    <row r="12" spans="1:31">
      <c r="B12" s="3"/>
      <c r="R12" s="313" t="str">
        <f t="shared" si="0"/>
        <v>0f</v>
      </c>
    </row>
    <row r="13" spans="1:31">
      <c r="R13" s="313" t="str">
        <f t="shared" si="0"/>
        <v>0f</v>
      </c>
    </row>
    <row r="14" spans="1:31">
      <c r="R14" s="313" t="str">
        <f t="shared" si="0"/>
        <v>0f</v>
      </c>
    </row>
    <row r="15" spans="1:31">
      <c r="R15" s="313" t="str">
        <f t="shared" si="0"/>
        <v>0f</v>
      </c>
    </row>
    <row r="16" spans="1:31">
      <c r="R16" s="313" t="str">
        <f t="shared" si="0"/>
        <v>0f</v>
      </c>
    </row>
    <row r="17" spans="18:18">
      <c r="R17" s="313" t="str">
        <f t="shared" si="0"/>
        <v>0f</v>
      </c>
    </row>
    <row r="18" spans="18:18">
      <c r="R18" s="313" t="str">
        <f t="shared" si="0"/>
        <v>0f</v>
      </c>
    </row>
    <row r="19" spans="18:18">
      <c r="R19" s="313" t="str">
        <f t="shared" si="0"/>
        <v>0f</v>
      </c>
    </row>
    <row r="20" spans="18:18">
      <c r="R20" s="313" t="str">
        <f t="shared" si="0"/>
        <v>0f</v>
      </c>
    </row>
    <row r="21" spans="18:18">
      <c r="R21" s="313" t="str">
        <f t="shared" si="0"/>
        <v>0f</v>
      </c>
    </row>
    <row r="22" spans="18:18">
      <c r="R22" s="313" t="str">
        <f t="shared" si="0"/>
        <v>0f</v>
      </c>
    </row>
    <row r="23" spans="18:18">
      <c r="R23" s="313" t="str">
        <f t="shared" si="0"/>
        <v>0f</v>
      </c>
    </row>
    <row r="24" spans="18:18">
      <c r="R24" s="313" t="str">
        <f t="shared" si="0"/>
        <v>0f</v>
      </c>
    </row>
    <row r="25" spans="18:18">
      <c r="R25" s="313" t="str">
        <f t="shared" si="0"/>
        <v>0f</v>
      </c>
    </row>
    <row r="26" spans="18:18">
      <c r="R26" s="313" t="str">
        <f t="shared" si="0"/>
        <v>0f</v>
      </c>
    </row>
    <row r="27" spans="18:18">
      <c r="R27" s="313" t="str">
        <f t="shared" si="0"/>
        <v>0f</v>
      </c>
    </row>
    <row r="28" spans="18:18">
      <c r="R28" s="313" t="str">
        <f t="shared" si="0"/>
        <v>0f</v>
      </c>
    </row>
    <row r="29" spans="18:18">
      <c r="R29" s="313" t="str">
        <f t="shared" si="0"/>
        <v>0f</v>
      </c>
    </row>
    <row r="30" spans="18:18">
      <c r="R30" s="313" t="str">
        <f t="shared" si="0"/>
        <v>0f</v>
      </c>
    </row>
    <row r="31" spans="18:18">
      <c r="R31" s="313" t="str">
        <f t="shared" si="0"/>
        <v>0f</v>
      </c>
    </row>
    <row r="32" spans="18:18">
      <c r="R32" s="313" t="str">
        <f t="shared" si="0"/>
        <v>0f</v>
      </c>
    </row>
    <row r="33" spans="18:18">
      <c r="R33" s="313" t="str">
        <f t="shared" si="0"/>
        <v>0f</v>
      </c>
    </row>
    <row r="34" spans="18:18">
      <c r="R34" s="313" t="str">
        <f t="shared" si="0"/>
        <v>0f</v>
      </c>
    </row>
    <row r="35" spans="18:18">
      <c r="R35" s="313" t="str">
        <f t="shared" si="0"/>
        <v>0f</v>
      </c>
    </row>
    <row r="36" spans="18:18">
      <c r="R36" s="313" t="str">
        <f t="shared" si="0"/>
        <v>0f</v>
      </c>
    </row>
    <row r="37" spans="18:18">
      <c r="R37" s="313" t="str">
        <f t="shared" si="0"/>
        <v>0f</v>
      </c>
    </row>
    <row r="38" spans="18:18">
      <c r="R38" s="313" t="str">
        <f t="shared" si="0"/>
        <v>0f</v>
      </c>
    </row>
    <row r="39" spans="18:18">
      <c r="R39" s="313" t="str">
        <f t="shared" si="0"/>
        <v>0f</v>
      </c>
    </row>
    <row r="40" spans="18:18">
      <c r="R40" s="313" t="str">
        <f t="shared" si="0"/>
        <v>0f</v>
      </c>
    </row>
    <row r="41" spans="18:18">
      <c r="R41" s="313" t="str">
        <f t="shared" si="0"/>
        <v>0f</v>
      </c>
    </row>
    <row r="42" spans="18:18">
      <c r="R42" s="313" t="str">
        <f t="shared" si="0"/>
        <v>0f</v>
      </c>
    </row>
    <row r="43" spans="18:18">
      <c r="R43" s="313" t="str">
        <f t="shared" si="0"/>
        <v>0f</v>
      </c>
    </row>
    <row r="44" spans="18:18">
      <c r="R44" s="313" t="str">
        <f t="shared" si="0"/>
        <v>0f</v>
      </c>
    </row>
    <row r="45" spans="18:18">
      <c r="R45" s="313" t="str">
        <f t="shared" si="0"/>
        <v>0f</v>
      </c>
    </row>
    <row r="46" spans="18:18">
      <c r="R46" s="313" t="str">
        <f t="shared" si="0"/>
        <v>0f</v>
      </c>
    </row>
    <row r="47" spans="18:18">
      <c r="R47" s="313" t="str">
        <f t="shared" si="0"/>
        <v>0f</v>
      </c>
    </row>
    <row r="48" spans="18:18">
      <c r="R48" s="313" t="str">
        <f t="shared" si="0"/>
        <v>0f</v>
      </c>
    </row>
    <row r="49" spans="18:18">
      <c r="R49" s="313" t="str">
        <f t="shared" si="0"/>
        <v>0f</v>
      </c>
    </row>
    <row r="50" spans="18:18">
      <c r="R50" s="313" t="str">
        <f t="shared" si="0"/>
        <v>0f</v>
      </c>
    </row>
    <row r="51" spans="18:18">
      <c r="R51" s="313" t="str">
        <f t="shared" si="0"/>
        <v>0f</v>
      </c>
    </row>
    <row r="52" spans="18:18">
      <c r="R52" s="313" t="str">
        <f t="shared" si="0"/>
        <v>0f</v>
      </c>
    </row>
    <row r="53" spans="18:18">
      <c r="R53" s="313" t="str">
        <f t="shared" si="0"/>
        <v>0f</v>
      </c>
    </row>
    <row r="54" spans="18:18">
      <c r="R54" s="313" t="str">
        <f t="shared" si="0"/>
        <v>0f</v>
      </c>
    </row>
    <row r="55" spans="18:18">
      <c r="R55" s="313" t="str">
        <f t="shared" si="0"/>
        <v>0f</v>
      </c>
    </row>
    <row r="56" spans="18:18">
      <c r="R56" s="313" t="str">
        <f t="shared" si="0"/>
        <v>0f</v>
      </c>
    </row>
    <row r="57" spans="18:18">
      <c r="R57" s="313" t="str">
        <f t="shared" si="0"/>
        <v>0f</v>
      </c>
    </row>
    <row r="58" spans="18:18">
      <c r="R58" s="313" t="str">
        <f t="shared" si="0"/>
        <v>0f</v>
      </c>
    </row>
    <row r="59" spans="18:18">
      <c r="R59" s="313" t="str">
        <f t="shared" si="0"/>
        <v>0f</v>
      </c>
    </row>
    <row r="60" spans="18:18">
      <c r="R60" s="313" t="str">
        <f t="shared" si="0"/>
        <v>0f</v>
      </c>
    </row>
    <row r="61" spans="18:18">
      <c r="R61" s="313" t="str">
        <f t="shared" si="0"/>
        <v>0f</v>
      </c>
    </row>
    <row r="62" spans="18:18">
      <c r="R62" s="313" t="str">
        <f t="shared" si="0"/>
        <v>0f</v>
      </c>
    </row>
    <row r="63" spans="18:18">
      <c r="R63" s="313" t="str">
        <f t="shared" si="0"/>
        <v>0f</v>
      </c>
    </row>
    <row r="64" spans="18:18">
      <c r="R64" s="313" t="str">
        <f t="shared" si="0"/>
        <v>0f</v>
      </c>
    </row>
    <row r="65" spans="18:18">
      <c r="R65" s="313" t="str">
        <f t="shared" si="0"/>
        <v>0f</v>
      </c>
    </row>
    <row r="66" spans="18:18">
      <c r="R66" s="313" t="str">
        <f t="shared" si="0"/>
        <v>0f</v>
      </c>
    </row>
    <row r="67" spans="18:18">
      <c r="R67" s="313" t="str">
        <f t="shared" ref="R67:R130" si="1">+VALUE(B67)&amp;"f"</f>
        <v>0f</v>
      </c>
    </row>
    <row r="68" spans="18:18">
      <c r="R68" s="313" t="str">
        <f t="shared" si="1"/>
        <v>0f</v>
      </c>
    </row>
    <row r="69" spans="18:18">
      <c r="R69" s="313" t="str">
        <f t="shared" si="1"/>
        <v>0f</v>
      </c>
    </row>
    <row r="70" spans="18:18">
      <c r="R70" s="313" t="str">
        <f t="shared" si="1"/>
        <v>0f</v>
      </c>
    </row>
    <row r="71" spans="18:18">
      <c r="R71" s="313" t="str">
        <f t="shared" si="1"/>
        <v>0f</v>
      </c>
    </row>
    <row r="72" spans="18:18">
      <c r="R72" s="313" t="str">
        <f t="shared" si="1"/>
        <v>0f</v>
      </c>
    </row>
    <row r="73" spans="18:18">
      <c r="R73" s="313" t="str">
        <f t="shared" si="1"/>
        <v>0f</v>
      </c>
    </row>
    <row r="74" spans="18:18">
      <c r="R74" s="313" t="str">
        <f t="shared" si="1"/>
        <v>0f</v>
      </c>
    </row>
    <row r="75" spans="18:18">
      <c r="R75" s="313" t="str">
        <f t="shared" si="1"/>
        <v>0f</v>
      </c>
    </row>
    <row r="76" spans="18:18">
      <c r="R76" s="313" t="str">
        <f t="shared" si="1"/>
        <v>0f</v>
      </c>
    </row>
    <row r="77" spans="18:18">
      <c r="R77" s="313" t="str">
        <f t="shared" si="1"/>
        <v>0f</v>
      </c>
    </row>
    <row r="78" spans="18:18">
      <c r="R78" s="313" t="str">
        <f t="shared" si="1"/>
        <v>0f</v>
      </c>
    </row>
    <row r="79" spans="18:18">
      <c r="R79" s="313" t="str">
        <f t="shared" si="1"/>
        <v>0f</v>
      </c>
    </row>
    <row r="80" spans="18:18">
      <c r="R80" s="313" t="str">
        <f t="shared" si="1"/>
        <v>0f</v>
      </c>
    </row>
    <row r="81" spans="18:18">
      <c r="R81" s="313" t="str">
        <f t="shared" si="1"/>
        <v>0f</v>
      </c>
    </row>
    <row r="82" spans="18:18">
      <c r="R82" s="313" t="str">
        <f t="shared" si="1"/>
        <v>0f</v>
      </c>
    </row>
    <row r="83" spans="18:18">
      <c r="R83" s="313" t="str">
        <f t="shared" si="1"/>
        <v>0f</v>
      </c>
    </row>
    <row r="84" spans="18:18">
      <c r="R84" s="313" t="str">
        <f t="shared" si="1"/>
        <v>0f</v>
      </c>
    </row>
    <row r="85" spans="18:18">
      <c r="R85" s="313" t="str">
        <f t="shared" si="1"/>
        <v>0f</v>
      </c>
    </row>
    <row r="86" spans="18:18">
      <c r="R86" s="313" t="str">
        <f t="shared" si="1"/>
        <v>0f</v>
      </c>
    </row>
    <row r="87" spans="18:18">
      <c r="R87" s="313" t="str">
        <f t="shared" si="1"/>
        <v>0f</v>
      </c>
    </row>
    <row r="88" spans="18:18">
      <c r="R88" s="313" t="str">
        <f t="shared" si="1"/>
        <v>0f</v>
      </c>
    </row>
    <row r="89" spans="18:18">
      <c r="R89" s="313" t="str">
        <f t="shared" si="1"/>
        <v>0f</v>
      </c>
    </row>
    <row r="90" spans="18:18">
      <c r="R90" s="313" t="str">
        <f t="shared" si="1"/>
        <v>0f</v>
      </c>
    </row>
    <row r="91" spans="18:18">
      <c r="R91" s="313" t="str">
        <f t="shared" si="1"/>
        <v>0f</v>
      </c>
    </row>
    <row r="92" spans="18:18">
      <c r="R92" s="313" t="str">
        <f t="shared" si="1"/>
        <v>0f</v>
      </c>
    </row>
    <row r="93" spans="18:18">
      <c r="R93" s="313" t="str">
        <f t="shared" si="1"/>
        <v>0f</v>
      </c>
    </row>
    <row r="94" spans="18:18">
      <c r="R94" s="313" t="str">
        <f t="shared" si="1"/>
        <v>0f</v>
      </c>
    </row>
    <row r="95" spans="18:18">
      <c r="R95" s="313" t="str">
        <f t="shared" si="1"/>
        <v>0f</v>
      </c>
    </row>
    <row r="96" spans="18:18">
      <c r="R96" s="313" t="str">
        <f t="shared" si="1"/>
        <v>0f</v>
      </c>
    </row>
    <row r="97" spans="18:18">
      <c r="R97" s="313" t="str">
        <f t="shared" si="1"/>
        <v>0f</v>
      </c>
    </row>
    <row r="98" spans="18:18">
      <c r="R98" s="313" t="str">
        <f t="shared" si="1"/>
        <v>0f</v>
      </c>
    </row>
    <row r="99" spans="18:18">
      <c r="R99" s="313" t="str">
        <f t="shared" si="1"/>
        <v>0f</v>
      </c>
    </row>
    <row r="100" spans="18:18">
      <c r="R100" s="313" t="str">
        <f t="shared" si="1"/>
        <v>0f</v>
      </c>
    </row>
    <row r="101" spans="18:18">
      <c r="R101" s="313" t="str">
        <f t="shared" si="1"/>
        <v>0f</v>
      </c>
    </row>
    <row r="102" spans="18:18">
      <c r="R102" s="313" t="str">
        <f t="shared" si="1"/>
        <v>0f</v>
      </c>
    </row>
    <row r="103" spans="18:18">
      <c r="R103" s="313" t="str">
        <f t="shared" si="1"/>
        <v>0f</v>
      </c>
    </row>
    <row r="104" spans="18:18">
      <c r="R104" s="313" t="str">
        <f t="shared" si="1"/>
        <v>0f</v>
      </c>
    </row>
    <row r="105" spans="18:18">
      <c r="R105" s="313" t="str">
        <f t="shared" si="1"/>
        <v>0f</v>
      </c>
    </row>
    <row r="106" spans="18:18">
      <c r="R106" s="313" t="str">
        <f t="shared" si="1"/>
        <v>0f</v>
      </c>
    </row>
    <row r="107" spans="18:18">
      <c r="R107" s="313" t="str">
        <f t="shared" si="1"/>
        <v>0f</v>
      </c>
    </row>
    <row r="108" spans="18:18">
      <c r="R108" s="313" t="str">
        <f t="shared" si="1"/>
        <v>0f</v>
      </c>
    </row>
    <row r="109" spans="18:18">
      <c r="R109" s="313" t="str">
        <f t="shared" si="1"/>
        <v>0f</v>
      </c>
    </row>
    <row r="110" spans="18:18">
      <c r="R110" s="313" t="str">
        <f t="shared" si="1"/>
        <v>0f</v>
      </c>
    </row>
    <row r="111" spans="18:18">
      <c r="R111" s="313" t="str">
        <f t="shared" si="1"/>
        <v>0f</v>
      </c>
    </row>
    <row r="112" spans="18:18">
      <c r="R112" s="313" t="str">
        <f t="shared" si="1"/>
        <v>0f</v>
      </c>
    </row>
    <row r="113" spans="18:18">
      <c r="R113" s="313" t="str">
        <f t="shared" si="1"/>
        <v>0f</v>
      </c>
    </row>
    <row r="114" spans="18:18">
      <c r="R114" s="313" t="str">
        <f t="shared" si="1"/>
        <v>0f</v>
      </c>
    </row>
    <row r="115" spans="18:18">
      <c r="R115" s="313" t="str">
        <f t="shared" si="1"/>
        <v>0f</v>
      </c>
    </row>
    <row r="116" spans="18:18">
      <c r="R116" s="313" t="str">
        <f t="shared" si="1"/>
        <v>0f</v>
      </c>
    </row>
    <row r="117" spans="18:18">
      <c r="R117" s="313" t="str">
        <f t="shared" si="1"/>
        <v>0f</v>
      </c>
    </row>
    <row r="118" spans="18:18">
      <c r="R118" s="313" t="str">
        <f t="shared" si="1"/>
        <v>0f</v>
      </c>
    </row>
    <row r="119" spans="18:18">
      <c r="R119" s="313" t="str">
        <f t="shared" si="1"/>
        <v>0f</v>
      </c>
    </row>
    <row r="120" spans="18:18">
      <c r="R120" s="313" t="str">
        <f t="shared" si="1"/>
        <v>0f</v>
      </c>
    </row>
    <row r="121" spans="18:18">
      <c r="R121" s="313" t="str">
        <f t="shared" si="1"/>
        <v>0f</v>
      </c>
    </row>
    <row r="122" spans="18:18">
      <c r="R122" s="313" t="str">
        <f t="shared" si="1"/>
        <v>0f</v>
      </c>
    </row>
    <row r="123" spans="18:18">
      <c r="R123" s="313" t="str">
        <f t="shared" si="1"/>
        <v>0f</v>
      </c>
    </row>
    <row r="124" spans="18:18">
      <c r="R124" s="313" t="str">
        <f t="shared" si="1"/>
        <v>0f</v>
      </c>
    </row>
    <row r="125" spans="18:18">
      <c r="R125" s="313" t="str">
        <f t="shared" si="1"/>
        <v>0f</v>
      </c>
    </row>
    <row r="126" spans="18:18">
      <c r="R126" s="313" t="str">
        <f t="shared" si="1"/>
        <v>0f</v>
      </c>
    </row>
    <row r="127" spans="18:18">
      <c r="R127" s="313" t="str">
        <f t="shared" si="1"/>
        <v>0f</v>
      </c>
    </row>
    <row r="128" spans="18:18">
      <c r="R128" s="313" t="str">
        <f t="shared" si="1"/>
        <v>0f</v>
      </c>
    </row>
    <row r="129" spans="18:18">
      <c r="R129" s="313" t="str">
        <f t="shared" si="1"/>
        <v>0f</v>
      </c>
    </row>
    <row r="130" spans="18:18">
      <c r="R130" s="313" t="str">
        <f t="shared" si="1"/>
        <v>0f</v>
      </c>
    </row>
    <row r="131" spans="18:18">
      <c r="R131" s="313" t="str">
        <f t="shared" ref="R131:R194" si="2">+VALUE(B131)&amp;"f"</f>
        <v>0f</v>
      </c>
    </row>
    <row r="132" spans="18:18">
      <c r="R132" s="313" t="str">
        <f t="shared" si="2"/>
        <v>0f</v>
      </c>
    </row>
    <row r="133" spans="18:18">
      <c r="R133" s="313" t="str">
        <f t="shared" si="2"/>
        <v>0f</v>
      </c>
    </row>
    <row r="134" spans="18:18">
      <c r="R134" s="313" t="str">
        <f t="shared" si="2"/>
        <v>0f</v>
      </c>
    </row>
    <row r="135" spans="18:18">
      <c r="R135" s="313" t="str">
        <f t="shared" si="2"/>
        <v>0f</v>
      </c>
    </row>
    <row r="136" spans="18:18">
      <c r="R136" s="313" t="str">
        <f t="shared" si="2"/>
        <v>0f</v>
      </c>
    </row>
    <row r="137" spans="18:18">
      <c r="R137" s="313" t="str">
        <f t="shared" si="2"/>
        <v>0f</v>
      </c>
    </row>
    <row r="138" spans="18:18">
      <c r="R138" s="313" t="str">
        <f t="shared" si="2"/>
        <v>0f</v>
      </c>
    </row>
    <row r="139" spans="18:18">
      <c r="R139" s="313" t="str">
        <f t="shared" si="2"/>
        <v>0f</v>
      </c>
    </row>
    <row r="140" spans="18:18">
      <c r="R140" s="313" t="str">
        <f t="shared" si="2"/>
        <v>0f</v>
      </c>
    </row>
    <row r="141" spans="18:18">
      <c r="R141" s="313" t="str">
        <f t="shared" si="2"/>
        <v>0f</v>
      </c>
    </row>
    <row r="142" spans="18:18">
      <c r="R142" s="313" t="str">
        <f t="shared" si="2"/>
        <v>0f</v>
      </c>
    </row>
    <row r="143" spans="18:18">
      <c r="R143" s="313" t="str">
        <f t="shared" si="2"/>
        <v>0f</v>
      </c>
    </row>
    <row r="144" spans="18:18">
      <c r="R144" s="313" t="str">
        <f t="shared" si="2"/>
        <v>0f</v>
      </c>
    </row>
    <row r="145" spans="18:18">
      <c r="R145" s="313" t="str">
        <f t="shared" si="2"/>
        <v>0f</v>
      </c>
    </row>
    <row r="146" spans="18:18">
      <c r="R146" s="313" t="str">
        <f t="shared" si="2"/>
        <v>0f</v>
      </c>
    </row>
    <row r="147" spans="18:18">
      <c r="R147" s="313" t="str">
        <f t="shared" si="2"/>
        <v>0f</v>
      </c>
    </row>
    <row r="148" spans="18:18">
      <c r="R148" s="313" t="str">
        <f t="shared" si="2"/>
        <v>0f</v>
      </c>
    </row>
    <row r="149" spans="18:18">
      <c r="R149" s="313" t="str">
        <f t="shared" si="2"/>
        <v>0f</v>
      </c>
    </row>
    <row r="150" spans="18:18">
      <c r="R150" s="313" t="str">
        <f t="shared" si="2"/>
        <v>0f</v>
      </c>
    </row>
    <row r="151" spans="18:18">
      <c r="R151" s="313" t="str">
        <f t="shared" si="2"/>
        <v>0f</v>
      </c>
    </row>
    <row r="152" spans="18:18">
      <c r="R152" s="313" t="str">
        <f t="shared" si="2"/>
        <v>0f</v>
      </c>
    </row>
    <row r="153" spans="18:18">
      <c r="R153" s="313" t="str">
        <f t="shared" si="2"/>
        <v>0f</v>
      </c>
    </row>
    <row r="154" spans="18:18">
      <c r="R154" s="313" t="str">
        <f t="shared" si="2"/>
        <v>0f</v>
      </c>
    </row>
    <row r="155" spans="18:18">
      <c r="R155" s="313" t="str">
        <f t="shared" si="2"/>
        <v>0f</v>
      </c>
    </row>
    <row r="156" spans="18:18">
      <c r="R156" s="313" t="str">
        <f t="shared" si="2"/>
        <v>0f</v>
      </c>
    </row>
    <row r="157" spans="18:18">
      <c r="R157" s="313" t="str">
        <f t="shared" si="2"/>
        <v>0f</v>
      </c>
    </row>
    <row r="158" spans="18:18">
      <c r="R158" s="313" t="str">
        <f t="shared" si="2"/>
        <v>0f</v>
      </c>
    </row>
    <row r="159" spans="18:18">
      <c r="R159" s="313" t="str">
        <f t="shared" si="2"/>
        <v>0f</v>
      </c>
    </row>
    <row r="160" spans="18:18">
      <c r="R160" s="313" t="str">
        <f t="shared" si="2"/>
        <v>0f</v>
      </c>
    </row>
    <row r="161" spans="18:18">
      <c r="R161" s="313" t="str">
        <f t="shared" si="2"/>
        <v>0f</v>
      </c>
    </row>
    <row r="162" spans="18:18">
      <c r="R162" s="313" t="str">
        <f t="shared" si="2"/>
        <v>0f</v>
      </c>
    </row>
    <row r="163" spans="18:18">
      <c r="R163" s="313" t="str">
        <f t="shared" si="2"/>
        <v>0f</v>
      </c>
    </row>
    <row r="164" spans="18:18">
      <c r="R164" s="313" t="str">
        <f t="shared" si="2"/>
        <v>0f</v>
      </c>
    </row>
    <row r="165" spans="18:18">
      <c r="R165" s="313" t="str">
        <f t="shared" si="2"/>
        <v>0f</v>
      </c>
    </row>
    <row r="166" spans="18:18">
      <c r="R166" s="313" t="str">
        <f t="shared" si="2"/>
        <v>0f</v>
      </c>
    </row>
    <row r="167" spans="18:18">
      <c r="R167" s="313" t="str">
        <f t="shared" si="2"/>
        <v>0f</v>
      </c>
    </row>
    <row r="168" spans="18:18">
      <c r="R168" s="313" t="str">
        <f t="shared" si="2"/>
        <v>0f</v>
      </c>
    </row>
    <row r="169" spans="18:18">
      <c r="R169" s="313" t="str">
        <f t="shared" si="2"/>
        <v>0f</v>
      </c>
    </row>
    <row r="170" spans="18:18">
      <c r="R170" s="313" t="str">
        <f t="shared" si="2"/>
        <v>0f</v>
      </c>
    </row>
    <row r="171" spans="18:18">
      <c r="R171" s="313" t="str">
        <f t="shared" si="2"/>
        <v>0f</v>
      </c>
    </row>
    <row r="172" spans="18:18">
      <c r="R172" s="313" t="str">
        <f t="shared" si="2"/>
        <v>0f</v>
      </c>
    </row>
    <row r="173" spans="18:18">
      <c r="R173" s="313" t="str">
        <f t="shared" si="2"/>
        <v>0f</v>
      </c>
    </row>
    <row r="174" spans="18:18">
      <c r="R174" s="313" t="str">
        <f t="shared" si="2"/>
        <v>0f</v>
      </c>
    </row>
    <row r="175" spans="18:18">
      <c r="R175" s="313" t="str">
        <f t="shared" si="2"/>
        <v>0f</v>
      </c>
    </row>
    <row r="176" spans="18:18">
      <c r="R176" s="313" t="str">
        <f t="shared" si="2"/>
        <v>0f</v>
      </c>
    </row>
    <row r="177" spans="18:18">
      <c r="R177" s="313" t="str">
        <f t="shared" si="2"/>
        <v>0f</v>
      </c>
    </row>
    <row r="178" spans="18:18">
      <c r="R178" s="313" t="str">
        <f t="shared" si="2"/>
        <v>0f</v>
      </c>
    </row>
    <row r="179" spans="18:18">
      <c r="R179" s="313" t="str">
        <f t="shared" si="2"/>
        <v>0f</v>
      </c>
    </row>
    <row r="180" spans="18:18">
      <c r="R180" s="313" t="str">
        <f t="shared" si="2"/>
        <v>0f</v>
      </c>
    </row>
    <row r="181" spans="18:18">
      <c r="R181" s="313" t="str">
        <f t="shared" si="2"/>
        <v>0f</v>
      </c>
    </row>
    <row r="182" spans="18:18">
      <c r="R182" s="313" t="str">
        <f t="shared" si="2"/>
        <v>0f</v>
      </c>
    </row>
    <row r="183" spans="18:18">
      <c r="R183" s="313" t="str">
        <f t="shared" si="2"/>
        <v>0f</v>
      </c>
    </row>
    <row r="184" spans="18:18">
      <c r="R184" s="313" t="str">
        <f t="shared" si="2"/>
        <v>0f</v>
      </c>
    </row>
    <row r="185" spans="18:18">
      <c r="R185" s="313" t="str">
        <f t="shared" si="2"/>
        <v>0f</v>
      </c>
    </row>
    <row r="186" spans="18:18">
      <c r="R186" s="313" t="str">
        <f t="shared" si="2"/>
        <v>0f</v>
      </c>
    </row>
    <row r="187" spans="18:18">
      <c r="R187" s="313" t="str">
        <f t="shared" si="2"/>
        <v>0f</v>
      </c>
    </row>
    <row r="188" spans="18:18">
      <c r="R188" s="313" t="str">
        <f t="shared" si="2"/>
        <v>0f</v>
      </c>
    </row>
    <row r="189" spans="18:18">
      <c r="R189" s="313" t="str">
        <f t="shared" si="2"/>
        <v>0f</v>
      </c>
    </row>
    <row r="190" spans="18:18">
      <c r="R190" s="313" t="str">
        <f t="shared" si="2"/>
        <v>0f</v>
      </c>
    </row>
    <row r="191" spans="18:18">
      <c r="R191" s="313" t="str">
        <f t="shared" si="2"/>
        <v>0f</v>
      </c>
    </row>
    <row r="192" spans="18:18">
      <c r="R192" s="313" t="str">
        <f t="shared" si="2"/>
        <v>0f</v>
      </c>
    </row>
    <row r="193" spans="18:18">
      <c r="R193" s="313" t="str">
        <f t="shared" si="2"/>
        <v>0f</v>
      </c>
    </row>
    <row r="194" spans="18:18">
      <c r="R194" s="313" t="str">
        <f t="shared" si="2"/>
        <v>0f</v>
      </c>
    </row>
    <row r="195" spans="18:18">
      <c r="R195" s="313" t="str">
        <f t="shared" ref="R195:R226" si="3">+VALUE(B195)&amp;"f"</f>
        <v>0f</v>
      </c>
    </row>
    <row r="196" spans="18:18">
      <c r="R196" s="313" t="str">
        <f t="shared" si="3"/>
        <v>0f</v>
      </c>
    </row>
    <row r="197" spans="18:18">
      <c r="R197" s="313" t="str">
        <f t="shared" si="3"/>
        <v>0f</v>
      </c>
    </row>
    <row r="198" spans="18:18">
      <c r="R198" s="313" t="str">
        <f t="shared" si="3"/>
        <v>0f</v>
      </c>
    </row>
    <row r="199" spans="18:18">
      <c r="R199" s="313" t="str">
        <f t="shared" si="3"/>
        <v>0f</v>
      </c>
    </row>
    <row r="200" spans="18:18">
      <c r="R200" s="313" t="str">
        <f t="shared" si="3"/>
        <v>0f</v>
      </c>
    </row>
    <row r="201" spans="18:18">
      <c r="R201" s="313" t="str">
        <f t="shared" si="3"/>
        <v>0f</v>
      </c>
    </row>
    <row r="202" spans="18:18">
      <c r="R202" s="313" t="str">
        <f t="shared" si="3"/>
        <v>0f</v>
      </c>
    </row>
    <row r="203" spans="18:18">
      <c r="R203" s="313" t="str">
        <f t="shared" si="3"/>
        <v>0f</v>
      </c>
    </row>
    <row r="204" spans="18:18">
      <c r="R204" s="313" t="str">
        <f t="shared" si="3"/>
        <v>0f</v>
      </c>
    </row>
    <row r="205" spans="18:18">
      <c r="R205" s="313" t="str">
        <f t="shared" si="3"/>
        <v>0f</v>
      </c>
    </row>
    <row r="206" spans="18:18">
      <c r="R206" s="313" t="str">
        <f t="shared" si="3"/>
        <v>0f</v>
      </c>
    </row>
    <row r="207" spans="18:18">
      <c r="R207" s="313" t="str">
        <f t="shared" si="3"/>
        <v>0f</v>
      </c>
    </row>
    <row r="208" spans="18:18">
      <c r="R208" s="313" t="str">
        <f t="shared" si="3"/>
        <v>0f</v>
      </c>
    </row>
    <row r="209" spans="18:18">
      <c r="R209" s="313" t="str">
        <f t="shared" si="3"/>
        <v>0f</v>
      </c>
    </row>
    <row r="210" spans="18:18">
      <c r="R210" s="313" t="str">
        <f t="shared" si="3"/>
        <v>0f</v>
      </c>
    </row>
    <row r="211" spans="18:18">
      <c r="R211" s="313" t="str">
        <f t="shared" si="3"/>
        <v>0f</v>
      </c>
    </row>
    <row r="212" spans="18:18">
      <c r="R212" s="313" t="str">
        <f t="shared" si="3"/>
        <v>0f</v>
      </c>
    </row>
    <row r="213" spans="18:18">
      <c r="R213" s="313" t="str">
        <f t="shared" si="3"/>
        <v>0f</v>
      </c>
    </row>
    <row r="214" spans="18:18">
      <c r="R214" s="313" t="str">
        <f t="shared" si="3"/>
        <v>0f</v>
      </c>
    </row>
    <row r="215" spans="18:18">
      <c r="R215" s="313" t="str">
        <f t="shared" si="3"/>
        <v>0f</v>
      </c>
    </row>
    <row r="216" spans="18:18">
      <c r="R216" s="313" t="str">
        <f t="shared" si="3"/>
        <v>0f</v>
      </c>
    </row>
    <row r="217" spans="18:18">
      <c r="R217" s="313" t="str">
        <f t="shared" si="3"/>
        <v>0f</v>
      </c>
    </row>
    <row r="218" spans="18:18">
      <c r="R218" s="313" t="str">
        <f t="shared" si="3"/>
        <v>0f</v>
      </c>
    </row>
    <row r="219" spans="18:18">
      <c r="R219" s="313" t="str">
        <f t="shared" si="3"/>
        <v>0f</v>
      </c>
    </row>
    <row r="220" spans="18:18">
      <c r="R220" s="313" t="str">
        <f t="shared" si="3"/>
        <v>0f</v>
      </c>
    </row>
    <row r="221" spans="18:18">
      <c r="R221" s="313" t="str">
        <f t="shared" si="3"/>
        <v>0f</v>
      </c>
    </row>
    <row r="222" spans="18:18">
      <c r="R222" s="313" t="str">
        <f t="shared" si="3"/>
        <v>0f</v>
      </c>
    </row>
    <row r="223" spans="18:18">
      <c r="R223" s="313" t="str">
        <f t="shared" si="3"/>
        <v>0f</v>
      </c>
    </row>
    <row r="224" spans="18:18">
      <c r="R224" s="313" t="str">
        <f t="shared" si="3"/>
        <v>0f</v>
      </c>
    </row>
    <row r="225" spans="18:18">
      <c r="R225" s="313" t="str">
        <f t="shared" si="3"/>
        <v>0f</v>
      </c>
    </row>
    <row r="226" spans="18:18">
      <c r="R226" s="313" t="str">
        <f t="shared" si="3"/>
        <v>0f</v>
      </c>
    </row>
  </sheetData>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C8BFBE3-6FBB-4DE8-9B73-207E7EC66AB2}">
  <sheetPr codeName="Sheet11">
    <tabColor rgb="FFFF0000"/>
  </sheetPr>
  <dimension ref="A1:P24"/>
  <sheetViews>
    <sheetView workbookViewId="0">
      <selection activeCell="M34" sqref="M34"/>
    </sheetView>
  </sheetViews>
  <sheetFormatPr defaultColWidth="9.296875" defaultRowHeight="14.6"/>
  <cols>
    <col min="1" max="3" width="9.296875" style="94"/>
    <col min="4" max="4" width="9.5" style="94" bestFit="1" customWidth="1"/>
    <col min="5" max="5" width="6.69921875" style="94" bestFit="1" customWidth="1"/>
    <col min="6" max="6" width="8.796875" style="94" bestFit="1" customWidth="1"/>
    <col min="7" max="7" width="15.296875" style="94" bestFit="1" customWidth="1"/>
    <col min="8" max="8" width="12.69921875" style="94" bestFit="1" customWidth="1"/>
    <col min="9" max="10" width="14.796875" style="94" bestFit="1" customWidth="1"/>
    <col min="11" max="11" width="12.69921875" style="94" bestFit="1" customWidth="1"/>
    <col min="12" max="12" width="16.296875" style="94" bestFit="1" customWidth="1"/>
    <col min="13" max="13" width="13.796875" style="94" bestFit="1" customWidth="1"/>
    <col min="14" max="15" width="15.796875" style="94" bestFit="1" customWidth="1"/>
    <col min="16" max="16" width="13.796875" style="94" bestFit="1" customWidth="1"/>
    <col min="17" max="17" width="13.5" style="94" customWidth="1"/>
    <col min="18" max="18" width="12.296875" style="94" customWidth="1"/>
    <col min="19" max="16384" width="9.296875" style="94"/>
  </cols>
  <sheetData>
    <row r="1" spans="1:16">
      <c r="D1" s="93"/>
    </row>
    <row r="2" spans="1:16">
      <c r="D2" s="112" t="s">
        <v>174</v>
      </c>
      <c r="E2" s="112"/>
      <c r="F2" s="112"/>
      <c r="G2" s="112"/>
      <c r="H2" s="112"/>
      <c r="I2" s="112"/>
      <c r="J2" s="112"/>
      <c r="K2" s="112"/>
      <c r="L2" s="112"/>
      <c r="M2" s="112"/>
      <c r="N2" s="112"/>
      <c r="O2" s="112"/>
      <c r="P2" s="112"/>
    </row>
    <row r="3" spans="1:16">
      <c r="D3" s="171" t="s">
        <v>570</v>
      </c>
    </row>
    <row r="4" spans="1:16">
      <c r="D4" s="94" t="s">
        <v>71</v>
      </c>
      <c r="E4" s="94" t="s">
        <v>72</v>
      </c>
      <c r="F4" s="524" t="s">
        <v>162</v>
      </c>
      <c r="G4" s="107" t="s">
        <v>62</v>
      </c>
      <c r="H4" s="107" t="s">
        <v>170</v>
      </c>
      <c r="I4" s="107" t="s">
        <v>175</v>
      </c>
      <c r="J4" s="107" t="s">
        <v>176</v>
      </c>
      <c r="K4" s="107" t="s">
        <v>69</v>
      </c>
      <c r="L4" s="107" t="s">
        <v>73</v>
      </c>
      <c r="M4" s="107" t="s">
        <v>171</v>
      </c>
      <c r="N4" s="107" t="s">
        <v>177</v>
      </c>
      <c r="O4" s="107" t="s">
        <v>176</v>
      </c>
      <c r="P4" s="107" t="s">
        <v>70</v>
      </c>
    </row>
    <row r="5" spans="1:16">
      <c r="A5"/>
      <c r="B5" s="231" t="str">
        <f>+TEXT(D5,"0000")</f>
        <v>6843f</v>
      </c>
      <c r="C5" s="232" t="str">
        <f>+B5&amp;E5</f>
        <v>6843f2017</v>
      </c>
      <c r="D5" s="94" t="s">
        <v>579</v>
      </c>
      <c r="E5" s="94">
        <v>2017</v>
      </c>
      <c r="F5" s="524" t="str">
        <f t="shared" ref="F5:F24" si="0">+D5&amp;E5</f>
        <v>6843f2017</v>
      </c>
      <c r="G5" s="94">
        <v>0</v>
      </c>
      <c r="H5" s="94">
        <v>0</v>
      </c>
      <c r="I5" s="94">
        <v>252605</v>
      </c>
      <c r="J5" s="94">
        <v>0</v>
      </c>
      <c r="K5" s="94">
        <v>0</v>
      </c>
      <c r="L5" s="94">
        <v>0</v>
      </c>
      <c r="M5" s="94">
        <v>0</v>
      </c>
      <c r="N5" s="94">
        <v>251819</v>
      </c>
      <c r="O5" s="94">
        <v>0</v>
      </c>
      <c r="P5" s="94">
        <v>0</v>
      </c>
    </row>
    <row r="6" spans="1:16">
      <c r="A6"/>
      <c r="B6" s="231" t="str">
        <f t="shared" ref="B6:B24" si="1">+TEXT(D6,"0000")</f>
        <v>0000</v>
      </c>
      <c r="C6" s="232" t="str">
        <f t="shared" ref="C6:C24" si="2">+B6&amp;E6</f>
        <v>0000</v>
      </c>
      <c r="F6" s="524" t="str">
        <f t="shared" si="0"/>
        <v/>
      </c>
    </row>
    <row r="7" spans="1:16">
      <c r="A7"/>
      <c r="B7" s="231" t="str">
        <f t="shared" si="1"/>
        <v>0000</v>
      </c>
      <c r="C7" s="232" t="str">
        <f t="shared" si="2"/>
        <v>0000</v>
      </c>
      <c r="F7" s="524" t="str">
        <f t="shared" si="0"/>
        <v/>
      </c>
    </row>
    <row r="8" spans="1:16">
      <c r="A8"/>
      <c r="B8" s="231" t="str">
        <f t="shared" si="1"/>
        <v>0000</v>
      </c>
      <c r="C8" s="232" t="str">
        <f t="shared" si="2"/>
        <v>0000</v>
      </c>
      <c r="F8" s="524" t="str">
        <f t="shared" si="0"/>
        <v/>
      </c>
    </row>
    <row r="9" spans="1:16">
      <c r="A9"/>
      <c r="B9" s="231" t="str">
        <f t="shared" si="1"/>
        <v>0000</v>
      </c>
      <c r="C9" s="232" t="str">
        <f t="shared" si="2"/>
        <v>0000</v>
      </c>
      <c r="F9" s="524" t="str">
        <f t="shared" si="0"/>
        <v/>
      </c>
    </row>
    <row r="10" spans="1:16">
      <c r="A10"/>
      <c r="B10" s="231" t="str">
        <f t="shared" si="1"/>
        <v>0000</v>
      </c>
      <c r="C10" s="232" t="str">
        <f t="shared" si="2"/>
        <v>0000</v>
      </c>
      <c r="F10" s="524" t="str">
        <f t="shared" si="0"/>
        <v/>
      </c>
    </row>
    <row r="11" spans="1:16">
      <c r="A11"/>
      <c r="B11" s="231" t="str">
        <f t="shared" si="1"/>
        <v>0000</v>
      </c>
      <c r="C11" s="232" t="str">
        <f t="shared" si="2"/>
        <v>0000</v>
      </c>
      <c r="F11" s="524" t="str">
        <f t="shared" si="0"/>
        <v/>
      </c>
    </row>
    <row r="12" spans="1:16">
      <c r="A12"/>
      <c r="B12" s="231" t="str">
        <f t="shared" si="1"/>
        <v>0000</v>
      </c>
      <c r="C12" s="232" t="str">
        <f t="shared" si="2"/>
        <v>0000</v>
      </c>
      <c r="F12" s="524" t="str">
        <f t="shared" si="0"/>
        <v/>
      </c>
    </row>
    <row r="13" spans="1:16">
      <c r="A13"/>
      <c r="B13" s="231" t="str">
        <f t="shared" si="1"/>
        <v>0000</v>
      </c>
      <c r="C13" s="232" t="str">
        <f t="shared" si="2"/>
        <v>0000</v>
      </c>
      <c r="F13" s="524" t="str">
        <f t="shared" si="0"/>
        <v/>
      </c>
    </row>
    <row r="14" spans="1:16">
      <c r="A14"/>
      <c r="B14" s="231" t="str">
        <f t="shared" si="1"/>
        <v>0000</v>
      </c>
      <c r="C14" s="232" t="str">
        <f t="shared" si="2"/>
        <v>0000</v>
      </c>
      <c r="F14" s="524" t="str">
        <f t="shared" si="0"/>
        <v/>
      </c>
    </row>
    <row r="15" spans="1:16">
      <c r="A15"/>
      <c r="B15" s="231" t="str">
        <f t="shared" si="1"/>
        <v>0000</v>
      </c>
      <c r="C15" s="232" t="str">
        <f t="shared" si="2"/>
        <v>0000</v>
      </c>
      <c r="F15" s="524" t="str">
        <f t="shared" si="0"/>
        <v/>
      </c>
    </row>
    <row r="16" spans="1:16">
      <c r="A16"/>
      <c r="B16" s="231" t="str">
        <f t="shared" si="1"/>
        <v>0000</v>
      </c>
      <c r="C16" s="232" t="str">
        <f t="shared" si="2"/>
        <v>0000</v>
      </c>
      <c r="F16" s="524" t="str">
        <f t="shared" si="0"/>
        <v/>
      </c>
    </row>
    <row r="17" spans="1:6">
      <c r="A17"/>
      <c r="B17" s="231" t="str">
        <f t="shared" si="1"/>
        <v>0000</v>
      </c>
      <c r="C17" s="232" t="str">
        <f t="shared" si="2"/>
        <v>0000</v>
      </c>
      <c r="F17" s="524" t="str">
        <f t="shared" si="0"/>
        <v/>
      </c>
    </row>
    <row r="18" spans="1:6">
      <c r="A18"/>
      <c r="B18" s="231" t="str">
        <f t="shared" si="1"/>
        <v>0000</v>
      </c>
      <c r="C18" s="232" t="str">
        <f t="shared" si="2"/>
        <v>0000</v>
      </c>
      <c r="F18" s="524" t="str">
        <f t="shared" si="0"/>
        <v/>
      </c>
    </row>
    <row r="19" spans="1:6">
      <c r="A19"/>
      <c r="B19" s="231" t="str">
        <f t="shared" si="1"/>
        <v>0000</v>
      </c>
      <c r="C19" s="232" t="str">
        <f t="shared" si="2"/>
        <v>0000</v>
      </c>
      <c r="F19" s="524" t="str">
        <f t="shared" si="0"/>
        <v/>
      </c>
    </row>
    <row r="20" spans="1:6">
      <c r="A20"/>
      <c r="B20" s="231" t="str">
        <f t="shared" si="1"/>
        <v>0000</v>
      </c>
      <c r="C20" s="232" t="str">
        <f t="shared" si="2"/>
        <v>0000</v>
      </c>
      <c r="F20" s="524" t="str">
        <f t="shared" si="0"/>
        <v/>
      </c>
    </row>
    <row r="21" spans="1:6">
      <c r="A21"/>
      <c r="B21" s="231" t="str">
        <f t="shared" si="1"/>
        <v>0000</v>
      </c>
      <c r="C21" s="232" t="str">
        <f t="shared" si="2"/>
        <v>0000</v>
      </c>
      <c r="F21" s="524" t="str">
        <f t="shared" si="0"/>
        <v/>
      </c>
    </row>
    <row r="22" spans="1:6">
      <c r="A22"/>
      <c r="B22" s="231" t="str">
        <f t="shared" si="1"/>
        <v>0000</v>
      </c>
      <c r="C22" s="232" t="str">
        <f t="shared" si="2"/>
        <v>0000</v>
      </c>
      <c r="F22" s="524" t="str">
        <f t="shared" si="0"/>
        <v/>
      </c>
    </row>
    <row r="23" spans="1:6">
      <c r="A23"/>
      <c r="B23" s="231" t="str">
        <f t="shared" si="1"/>
        <v>0000</v>
      </c>
      <c r="C23" s="232" t="str">
        <f t="shared" si="2"/>
        <v>0000</v>
      </c>
      <c r="F23" s="524" t="str">
        <f t="shared" si="0"/>
        <v/>
      </c>
    </row>
    <row r="24" spans="1:6">
      <c r="A24"/>
      <c r="B24" s="231" t="str">
        <f t="shared" si="1"/>
        <v>0000</v>
      </c>
      <c r="C24" s="232" t="str">
        <f t="shared" si="2"/>
        <v>0000</v>
      </c>
      <c r="F24" s="524" t="str">
        <f t="shared" si="0"/>
        <v/>
      </c>
    </row>
  </sheetData>
  <sortState xmlns:xlrd2="http://schemas.microsoft.com/office/spreadsheetml/2017/richdata2" ref="D5:P24">
    <sortCondition ref="D5:D24"/>
  </sortState>
  <pageMargins left="0.7" right="0.7" top="0.75" bottom="0.75"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1318DE6-1C59-4438-B357-7055B4020B00}">
  <sheetPr codeName="Sheet8"/>
  <dimension ref="A1:O59"/>
  <sheetViews>
    <sheetView topLeftCell="A28" workbookViewId="0">
      <selection activeCell="M34" sqref="M34"/>
    </sheetView>
  </sheetViews>
  <sheetFormatPr defaultRowHeight="12.9"/>
  <cols>
    <col min="1" max="1" width="4.296875" style="14" customWidth="1"/>
    <col min="2" max="2" width="8" style="14" customWidth="1"/>
    <col min="3" max="4" width="11.296875" style="14"/>
    <col min="5" max="5" width="12.5" style="14" customWidth="1"/>
    <col min="6" max="6" width="4.296875" style="14" customWidth="1"/>
    <col min="7" max="7" width="12.19921875" style="14" customWidth="1"/>
    <col min="8" max="8" width="13.69921875" style="14" customWidth="1"/>
    <col min="9" max="9" width="4.296875" style="14" customWidth="1"/>
    <col min="10" max="10" width="11.296875" style="14"/>
    <col min="11" max="11" width="17.19921875" style="14" customWidth="1"/>
    <col min="12" max="12" width="11.296875" style="14"/>
  </cols>
  <sheetData>
    <row r="1" spans="1:15">
      <c r="A1" s="13" t="str">
        <f>'D08'!DP1</f>
        <v xml:space="preserve">       FILE: PAF23D08; p.10</v>
      </c>
      <c r="K1" s="13" t="str">
        <f>'D08'!DZ1</f>
        <v>PA 2023 F CLASS R/R</v>
      </c>
    </row>
    <row r="2" spans="1:15" ht="14.6">
      <c r="A2" s="13" t="str">
        <f>'D08'!DP2</f>
        <v>SOURCE: PAF23D08, pp. 1-9</v>
      </c>
      <c r="K2" s="716" t="str">
        <f>'D08'!DZ2</f>
        <v>11/25/2022</v>
      </c>
      <c r="N2" s="157" t="s">
        <v>232</v>
      </c>
    </row>
    <row r="3" spans="1:15">
      <c r="K3" s="15"/>
      <c r="N3" s="12"/>
      <c r="O3" s="1" t="s">
        <v>143</v>
      </c>
    </row>
    <row r="4" spans="1:15" ht="15.45">
      <c r="A4" s="16" t="s">
        <v>90</v>
      </c>
      <c r="B4" s="17"/>
      <c r="C4" s="17"/>
      <c r="D4" s="17"/>
      <c r="E4" s="17"/>
      <c r="F4" s="17"/>
      <c r="G4" s="17"/>
      <c r="H4" s="17"/>
      <c r="I4" s="17"/>
      <c r="J4" s="17"/>
      <c r="K4" s="15"/>
      <c r="N4" s="66"/>
      <c r="O4" s="1" t="s">
        <v>142</v>
      </c>
    </row>
    <row r="5" spans="1:15" ht="15.45">
      <c r="A5" s="16"/>
      <c r="B5" s="17"/>
      <c r="C5" s="17"/>
      <c r="D5" s="17"/>
      <c r="E5" s="17"/>
      <c r="F5" s="17"/>
      <c r="G5" s="18"/>
      <c r="H5" s="17"/>
      <c r="I5" s="17"/>
      <c r="J5" s="17"/>
      <c r="K5" s="17"/>
      <c r="N5" s="85"/>
      <c r="O5" s="1" t="s">
        <v>146</v>
      </c>
    </row>
    <row r="8" spans="1:15">
      <c r="E8" s="19" t="s">
        <v>81</v>
      </c>
      <c r="G8" s="19" t="s">
        <v>91</v>
      </c>
      <c r="K8" s="19" t="s">
        <v>92</v>
      </c>
    </row>
    <row r="9" spans="1:15">
      <c r="B9" s="20" t="s">
        <v>93</v>
      </c>
      <c r="C9" s="17"/>
      <c r="E9" s="19" t="s">
        <v>94</v>
      </c>
      <c r="G9" s="19" t="s">
        <v>95</v>
      </c>
      <c r="H9" s="19" t="s">
        <v>96</v>
      </c>
      <c r="J9" s="19" t="s">
        <v>97</v>
      </c>
      <c r="K9" s="21" t="s">
        <v>86</v>
      </c>
    </row>
    <row r="10" spans="1:15">
      <c r="B10" s="20" t="s">
        <v>98</v>
      </c>
      <c r="C10" s="17"/>
      <c r="E10" s="19" t="s">
        <v>99</v>
      </c>
      <c r="G10" s="19" t="s">
        <v>99</v>
      </c>
      <c r="H10" s="19" t="s">
        <v>100</v>
      </c>
      <c r="J10" s="19" t="s">
        <v>100</v>
      </c>
      <c r="K10" s="21" t="s">
        <v>101</v>
      </c>
    </row>
    <row r="12" spans="1:15">
      <c r="A12" s="22" t="s">
        <v>514</v>
      </c>
      <c r="B12" s="23" t="s">
        <v>525</v>
      </c>
      <c r="E12" s="304">
        <f>'D08'!DT12</f>
        <v>0.69910000000000005</v>
      </c>
      <c r="F12"/>
      <c r="G12" s="304">
        <f>'D08'!DV12</f>
        <v>0.96009999999999995</v>
      </c>
      <c r="H12" s="304">
        <f>'D08'!DW12</f>
        <v>0.71</v>
      </c>
      <c r="I12"/>
      <c r="J12" s="304">
        <f>'D08'!DY12</f>
        <v>1.21</v>
      </c>
      <c r="K12" s="238"/>
    </row>
    <row r="13" spans="1:15">
      <c r="A13" s="22"/>
      <c r="B13" s="23"/>
      <c r="E13" s="304"/>
      <c r="F13"/>
      <c r="G13" s="304"/>
      <c r="H13" s="304"/>
      <c r="I13"/>
      <c r="J13" s="304"/>
      <c r="K13" s="238"/>
    </row>
    <row r="14" spans="1:15">
      <c r="A14" s="22"/>
      <c r="B14" s="23"/>
      <c r="E14" s="304"/>
      <c r="F14"/>
      <c r="G14" s="304"/>
      <c r="H14" s="304"/>
      <c r="I14"/>
      <c r="J14" s="304"/>
      <c r="K14" s="238"/>
    </row>
    <row r="15" spans="1:15">
      <c r="H15" s="28"/>
      <c r="J15" s="28"/>
    </row>
    <row r="17" spans="1:11">
      <c r="C17" s="19" t="s">
        <v>102</v>
      </c>
      <c r="D17" s="21"/>
      <c r="E17" s="19" t="s">
        <v>103</v>
      </c>
      <c r="F17" s="21"/>
      <c r="G17" s="21"/>
      <c r="H17" s="19" t="s">
        <v>104</v>
      </c>
    </row>
    <row r="18" spans="1:11">
      <c r="C18" s="19" t="s">
        <v>105</v>
      </c>
      <c r="D18" s="21"/>
      <c r="E18" s="19" t="s">
        <v>106</v>
      </c>
      <c r="F18" s="21"/>
      <c r="G18" s="21"/>
      <c r="H18" s="19" t="s">
        <v>106</v>
      </c>
    </row>
    <row r="20" spans="1:11">
      <c r="C20" s="29" t="s">
        <v>107</v>
      </c>
      <c r="D20" s="30"/>
      <c r="E20" s="305">
        <f>'D08'!DT20</f>
        <v>927367</v>
      </c>
      <c r="F20" s="306"/>
      <c r="G20" s="306"/>
      <c r="H20" s="305">
        <f>'D08'!DW20</f>
        <v>1854734</v>
      </c>
    </row>
    <row r="21" spans="1:11">
      <c r="C21" s="29" t="s">
        <v>108</v>
      </c>
      <c r="D21" s="30"/>
      <c r="E21" s="305">
        <f>'D08'!DT21</f>
        <v>985013</v>
      </c>
      <c r="F21" s="306"/>
      <c r="G21" s="306"/>
      <c r="H21" s="305">
        <f>'D08'!DW21</f>
        <v>1970026</v>
      </c>
    </row>
    <row r="22" spans="1:11">
      <c r="C22" s="29" t="s">
        <v>109</v>
      </c>
      <c r="D22" s="30"/>
      <c r="E22" s="305">
        <f>'D08'!DT22</f>
        <v>1046242</v>
      </c>
      <c r="F22" s="306"/>
      <c r="G22" s="306"/>
      <c r="H22" s="305">
        <f>'D08'!DW22</f>
        <v>2092484</v>
      </c>
    </row>
    <row r="23" spans="1:11">
      <c r="B23" s="23"/>
      <c r="C23" s="29" t="s">
        <v>110</v>
      </c>
      <c r="D23" s="30"/>
      <c r="E23" s="305">
        <f>'D08'!DT23</f>
        <v>1111277</v>
      </c>
      <c r="F23" s="306"/>
      <c r="G23" s="306"/>
      <c r="H23" s="305">
        <f>'D08'!DW23</f>
        <v>2222554</v>
      </c>
    </row>
    <row r="24" spans="1:11">
      <c r="B24" s="23"/>
      <c r="C24" s="29" t="s">
        <v>111</v>
      </c>
      <c r="D24" s="30"/>
      <c r="E24" s="305">
        <f>'D08'!DT24</f>
        <v>1180354</v>
      </c>
      <c r="F24" s="306"/>
      <c r="G24" s="306"/>
      <c r="H24" s="305">
        <f>'D08'!DW24</f>
        <v>2360708</v>
      </c>
    </row>
    <row r="25" spans="1:11">
      <c r="B25" s="23"/>
      <c r="C25" s="29" t="s">
        <v>112</v>
      </c>
      <c r="D25" s="30"/>
      <c r="E25" s="305">
        <f>'D08'!DT25</f>
        <v>1253726</v>
      </c>
      <c r="F25" s="306"/>
      <c r="G25" s="306"/>
      <c r="H25" s="305">
        <f>'D08'!DW25</f>
        <v>2507452</v>
      </c>
    </row>
    <row r="26" spans="1:11">
      <c r="B26" s="23"/>
      <c r="C26" s="29" t="s">
        <v>113</v>
      </c>
      <c r="D26" s="30"/>
      <c r="E26" s="305">
        <f>'D08'!DT26</f>
        <v>1331658</v>
      </c>
      <c r="F26" s="306"/>
      <c r="G26" s="306"/>
      <c r="H26" s="305">
        <f>'D08'!DW26</f>
        <v>2663316</v>
      </c>
    </row>
    <row r="27" spans="1:11">
      <c r="B27" s="23"/>
      <c r="C27" s="29"/>
      <c r="D27" s="30"/>
      <c r="E27" s="31"/>
      <c r="F27" s="21"/>
      <c r="G27" s="21"/>
      <c r="H27" s="31"/>
    </row>
    <row r="29" spans="1:11">
      <c r="D29" s="22" t="s">
        <v>114</v>
      </c>
    </row>
    <row r="30" spans="1:11">
      <c r="A30" s="20" t="s">
        <v>115</v>
      </c>
      <c r="B30" s="17"/>
      <c r="C30" s="17"/>
      <c r="D30" s="17"/>
      <c r="E30" s="17"/>
      <c r="F30" s="17"/>
      <c r="G30" s="17"/>
      <c r="H30" s="17"/>
      <c r="I30" s="17"/>
      <c r="J30" s="17"/>
      <c r="K30" s="32"/>
    </row>
    <row r="31" spans="1:11">
      <c r="B31" s="19" t="s">
        <v>116</v>
      </c>
      <c r="C31" s="21"/>
      <c r="D31" s="21"/>
      <c r="E31" s="21"/>
      <c r="F31" s="21"/>
      <c r="G31" s="21"/>
      <c r="H31" s="21"/>
      <c r="I31" s="21"/>
      <c r="J31" s="19" t="s">
        <v>117</v>
      </c>
      <c r="K31" s="33" t="s">
        <v>2</v>
      </c>
    </row>
    <row r="32" spans="1:11">
      <c r="B32" s="19" t="s">
        <v>118</v>
      </c>
      <c r="C32" s="21"/>
      <c r="D32" s="19" t="s">
        <v>31</v>
      </c>
      <c r="E32" s="21"/>
      <c r="F32" s="21"/>
      <c r="G32" s="19" t="s">
        <v>119</v>
      </c>
      <c r="H32" s="21"/>
      <c r="I32" s="21"/>
      <c r="J32" s="19" t="s">
        <v>120</v>
      </c>
      <c r="K32" s="33" t="s">
        <v>121</v>
      </c>
    </row>
    <row r="34" spans="1:11">
      <c r="B34" s="299">
        <f>'D08'!AI25</f>
        <v>2015</v>
      </c>
      <c r="C34" s="34"/>
      <c r="D34" s="307">
        <f>'D08'!DS34</f>
        <v>0</v>
      </c>
      <c r="E34" s="308"/>
      <c r="F34" s="309"/>
      <c r="G34" s="307">
        <f>'D08'!DV34</f>
        <v>0</v>
      </c>
      <c r="H34" s="308"/>
      <c r="I34" s="309"/>
      <c r="J34" s="307">
        <f>'D08'!DY34</f>
        <v>0</v>
      </c>
      <c r="K34" s="36">
        <v>1</v>
      </c>
    </row>
    <row r="35" spans="1:11">
      <c r="B35" s="299">
        <f>'D08'!AI26</f>
        <v>2016</v>
      </c>
      <c r="C35" s="34"/>
      <c r="D35" s="307">
        <f>'D08'!DS35</f>
        <v>0</v>
      </c>
      <c r="E35" s="308"/>
      <c r="F35" s="309"/>
      <c r="G35" s="307">
        <f>'D08'!DV35</f>
        <v>0</v>
      </c>
      <c r="H35" s="308"/>
      <c r="I35" s="309"/>
      <c r="J35" s="307">
        <f>'D08'!DY35</f>
        <v>0</v>
      </c>
      <c r="K35" s="36">
        <v>1</v>
      </c>
    </row>
    <row r="36" spans="1:11">
      <c r="B36" s="299">
        <f>'D08'!AI27</f>
        <v>2017</v>
      </c>
      <c r="C36" s="34"/>
      <c r="D36" s="307">
        <f>'D08'!DS36</f>
        <v>0</v>
      </c>
      <c r="E36" s="308"/>
      <c r="F36" s="309"/>
      <c r="G36" s="307">
        <f>'D08'!DV36</f>
        <v>0</v>
      </c>
      <c r="H36" s="308"/>
      <c r="I36" s="309"/>
      <c r="J36" s="307">
        <f>'D08'!DY36</f>
        <v>0</v>
      </c>
      <c r="K36" s="36">
        <v>1</v>
      </c>
    </row>
    <row r="37" spans="1:11">
      <c r="B37" s="299">
        <f>'D08'!AI28</f>
        <v>2018</v>
      </c>
      <c r="C37" s="34"/>
      <c r="D37" s="307">
        <f>'D08'!DS37</f>
        <v>0</v>
      </c>
      <c r="E37" s="308"/>
      <c r="F37" s="309"/>
      <c r="G37" s="307">
        <f>'D08'!DV37</f>
        <v>0</v>
      </c>
      <c r="H37" s="308"/>
      <c r="I37" s="309"/>
      <c r="J37" s="307">
        <f>'D08'!DY37</f>
        <v>0</v>
      </c>
      <c r="K37" s="36">
        <v>1</v>
      </c>
    </row>
    <row r="38" spans="1:11">
      <c r="B38" s="299">
        <f>'D08'!AI29</f>
        <v>2019</v>
      </c>
      <c r="C38" s="34"/>
      <c r="D38" s="307">
        <f>'D08'!DS38</f>
        <v>0</v>
      </c>
      <c r="E38" s="308"/>
      <c r="F38" s="309"/>
      <c r="G38" s="307">
        <f>'D08'!DV38</f>
        <v>0</v>
      </c>
      <c r="H38" s="308"/>
      <c r="I38" s="309"/>
      <c r="J38" s="307">
        <f>'D08'!DY38</f>
        <v>0</v>
      </c>
      <c r="K38" s="36">
        <v>1</v>
      </c>
    </row>
    <row r="40" spans="1:11">
      <c r="A40" s="14" t="s">
        <v>2</v>
      </c>
    </row>
    <row r="41" spans="1:11">
      <c r="A41" s="22" t="s">
        <v>122</v>
      </c>
      <c r="D41" s="239" t="str">
        <f>'D08'!DS41</f>
        <v>P23D08.XLS</v>
      </c>
      <c r="G41" s="14" t="s">
        <v>123</v>
      </c>
    </row>
    <row r="42" spans="1:11">
      <c r="A42" s="14" t="s">
        <v>124</v>
      </c>
      <c r="D42" s="14">
        <v>5</v>
      </c>
    </row>
    <row r="43" spans="1:11">
      <c r="A43" s="14" t="s">
        <v>125</v>
      </c>
      <c r="F43" s="14" t="s">
        <v>126</v>
      </c>
    </row>
    <row r="44" spans="1:11">
      <c r="A44" s="14" t="s">
        <v>127</v>
      </c>
      <c r="D44" s="14" t="s">
        <v>128</v>
      </c>
    </row>
    <row r="45" spans="1:11">
      <c r="A45" s="14" t="s">
        <v>129</v>
      </c>
      <c r="E45" s="14" t="s">
        <v>130</v>
      </c>
      <c r="F45" s="23"/>
    </row>
    <row r="46" spans="1:11">
      <c r="A46" s="14" t="s">
        <v>131</v>
      </c>
    </row>
    <row r="47" spans="1:11">
      <c r="B47" s="23" t="s">
        <v>132</v>
      </c>
      <c r="D47" s="38">
        <v>1</v>
      </c>
      <c r="E47" s="14" t="s">
        <v>133</v>
      </c>
      <c r="G47" s="39">
        <v>1</v>
      </c>
      <c r="I47" s="14" t="s">
        <v>134</v>
      </c>
      <c r="K47" s="39">
        <v>1</v>
      </c>
    </row>
    <row r="48" spans="1:11">
      <c r="A48" s="14" t="s">
        <v>135</v>
      </c>
      <c r="B48" s="23"/>
    </row>
    <row r="49" spans="1:11">
      <c r="B49" s="23" t="s">
        <v>132</v>
      </c>
      <c r="D49" s="239">
        <f>'D08'!DS49</f>
        <v>3.5823999999999998</v>
      </c>
      <c r="E49" s="193" t="s">
        <v>133</v>
      </c>
      <c r="F49" s="193"/>
      <c r="G49" s="240">
        <f>'D08'!DV49</f>
        <v>2.9306000000000001</v>
      </c>
      <c r="H49" s="193"/>
      <c r="I49" s="193" t="s">
        <v>134</v>
      </c>
      <c r="J49" s="193"/>
      <c r="K49" s="240">
        <f>'D08'!DZ49</f>
        <v>13.7582</v>
      </c>
    </row>
    <row r="50" spans="1:11">
      <c r="B50" s="23"/>
      <c r="D50" s="241"/>
      <c r="E50" s="193"/>
      <c r="F50" s="193"/>
      <c r="G50" s="242"/>
      <c r="H50" s="193"/>
      <c r="I50" s="193"/>
      <c r="J50" s="193"/>
      <c r="K50" s="242"/>
    </row>
    <row r="51" spans="1:11">
      <c r="B51" s="23"/>
      <c r="D51" s="241"/>
      <c r="E51" s="193"/>
      <c r="F51" s="193"/>
      <c r="G51" s="242"/>
      <c r="H51" s="193"/>
      <c r="I51" s="193"/>
      <c r="J51" s="193"/>
      <c r="K51" s="242"/>
    </row>
    <row r="52" spans="1:11">
      <c r="A52" s="14" t="s">
        <v>136</v>
      </c>
      <c r="B52" s="23"/>
      <c r="D52" s="241"/>
      <c r="E52" s="193"/>
      <c r="F52" s="193"/>
      <c r="G52" s="243">
        <f>'D08'!DV52</f>
        <v>0</v>
      </c>
      <c r="H52" s="193"/>
      <c r="I52" s="193"/>
      <c r="J52" s="193"/>
      <c r="K52" s="242"/>
    </row>
    <row r="53" spans="1:11">
      <c r="A53" s="14" t="s">
        <v>137</v>
      </c>
      <c r="B53" s="23"/>
      <c r="D53" s="241"/>
      <c r="E53" s="307" t="str">
        <f>'D08'!DT53</f>
        <v>REGULAR = (310 * RATE) + EXPENSE CONSTANT</v>
      </c>
      <c r="F53" s="9"/>
      <c r="G53" s="242"/>
      <c r="H53" s="193"/>
      <c r="I53" s="193"/>
      <c r="J53" s="193"/>
      <c r="K53" s="242"/>
    </row>
    <row r="54" spans="1:11">
      <c r="B54" s="23"/>
      <c r="D54" s="6"/>
      <c r="E54" s="40"/>
      <c r="G54" s="7"/>
      <c r="K54" s="7"/>
    </row>
    <row r="55" spans="1:11">
      <c r="A55" s="40" t="s">
        <v>138</v>
      </c>
      <c r="B55" s="23"/>
      <c r="D55" s="6"/>
      <c r="E55" s="542">
        <f>'D08'!DT55</f>
        <v>375</v>
      </c>
      <c r="G55" s="7"/>
      <c r="K55" s="7"/>
    </row>
    <row r="56" spans="1:11">
      <c r="D56" s="40"/>
      <c r="E56" s="30"/>
    </row>
    <row r="57" spans="1:11">
      <c r="A57" s="14" t="s">
        <v>482</v>
      </c>
      <c r="E57" s="542">
        <f>'D08'!DT57</f>
        <v>3000</v>
      </c>
    </row>
    <row r="58" spans="1:11">
      <c r="E58" s="8"/>
    </row>
    <row r="59" spans="1:11">
      <c r="C59" s="23"/>
      <c r="E59" s="22"/>
      <c r="G59" s="37"/>
      <c r="I59" s="23"/>
    </row>
  </sheetData>
  <pageMargins left="0.7" right="0.7" top="0.75" bottom="0.75"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32650CF-0CC4-40FE-9442-0F2759100A64}">
  <sheetPr codeName="Sheet14"/>
  <dimension ref="A1:G116"/>
  <sheetViews>
    <sheetView zoomScaleNormal="100" workbookViewId="0">
      <selection activeCell="M34" sqref="M34"/>
    </sheetView>
  </sheetViews>
  <sheetFormatPr defaultRowHeight="12.45"/>
  <cols>
    <col min="1" max="1" width="9.296875" style="2"/>
    <col min="2" max="4" width="15.5" style="2" customWidth="1"/>
    <col min="5" max="252" width="9.296875" style="2"/>
    <col min="253" max="255" width="15.5" style="2" customWidth="1"/>
    <col min="256" max="508" width="9.296875" style="2"/>
    <col min="509" max="511" width="15.5" style="2" customWidth="1"/>
    <col min="512" max="764" width="9.296875" style="2"/>
    <col min="765" max="767" width="15.5" style="2" customWidth="1"/>
    <col min="768" max="1020" width="9.296875" style="2"/>
    <col min="1021" max="1023" width="15.5" style="2" customWidth="1"/>
    <col min="1024" max="1276" width="9.296875" style="2"/>
    <col min="1277" max="1279" width="15.5" style="2" customWidth="1"/>
    <col min="1280" max="1532" width="9.296875" style="2"/>
    <col min="1533" max="1535" width="15.5" style="2" customWidth="1"/>
    <col min="1536" max="1788" width="9.296875" style="2"/>
    <col min="1789" max="1791" width="15.5" style="2" customWidth="1"/>
    <col min="1792" max="2044" width="9.296875" style="2"/>
    <col min="2045" max="2047" width="15.5" style="2" customWidth="1"/>
    <col min="2048" max="2300" width="9.296875" style="2"/>
    <col min="2301" max="2303" width="15.5" style="2" customWidth="1"/>
    <col min="2304" max="2556" width="9.296875" style="2"/>
    <col min="2557" max="2559" width="15.5" style="2" customWidth="1"/>
    <col min="2560" max="2812" width="9.296875" style="2"/>
    <col min="2813" max="2815" width="15.5" style="2" customWidth="1"/>
    <col min="2816" max="3068" width="9.296875" style="2"/>
    <col min="3069" max="3071" width="15.5" style="2" customWidth="1"/>
    <col min="3072" max="3324" width="9.296875" style="2"/>
    <col min="3325" max="3327" width="15.5" style="2" customWidth="1"/>
    <col min="3328" max="3580" width="9.296875" style="2"/>
    <col min="3581" max="3583" width="15.5" style="2" customWidth="1"/>
    <col min="3584" max="3836" width="9.296875" style="2"/>
    <col min="3837" max="3839" width="15.5" style="2" customWidth="1"/>
    <col min="3840" max="4092" width="9.296875" style="2"/>
    <col min="4093" max="4095" width="15.5" style="2" customWidth="1"/>
    <col min="4096" max="4348" width="9.296875" style="2"/>
    <col min="4349" max="4351" width="15.5" style="2" customWidth="1"/>
    <col min="4352" max="4604" width="9.296875" style="2"/>
    <col min="4605" max="4607" width="15.5" style="2" customWidth="1"/>
    <col min="4608" max="4860" width="9.296875" style="2"/>
    <col min="4861" max="4863" width="15.5" style="2" customWidth="1"/>
    <col min="4864" max="5116" width="9.296875" style="2"/>
    <col min="5117" max="5119" width="15.5" style="2" customWidth="1"/>
    <col min="5120" max="5372" width="9.296875" style="2"/>
    <col min="5373" max="5375" width="15.5" style="2" customWidth="1"/>
    <col min="5376" max="5628" width="9.296875" style="2"/>
    <col min="5629" max="5631" width="15.5" style="2" customWidth="1"/>
    <col min="5632" max="5884" width="9.296875" style="2"/>
    <col min="5885" max="5887" width="15.5" style="2" customWidth="1"/>
    <col min="5888" max="6140" width="9.296875" style="2"/>
    <col min="6141" max="6143" width="15.5" style="2" customWidth="1"/>
    <col min="6144" max="6396" width="9.296875" style="2"/>
    <col min="6397" max="6399" width="15.5" style="2" customWidth="1"/>
    <col min="6400" max="6652" width="9.296875" style="2"/>
    <col min="6653" max="6655" width="15.5" style="2" customWidth="1"/>
    <col min="6656" max="6908" width="9.296875" style="2"/>
    <col min="6909" max="6911" width="15.5" style="2" customWidth="1"/>
    <col min="6912" max="7164" width="9.296875" style="2"/>
    <col min="7165" max="7167" width="15.5" style="2" customWidth="1"/>
    <col min="7168" max="7420" width="9.296875" style="2"/>
    <col min="7421" max="7423" width="15.5" style="2" customWidth="1"/>
    <col min="7424" max="7676" width="9.296875" style="2"/>
    <col min="7677" max="7679" width="15.5" style="2" customWidth="1"/>
    <col min="7680" max="7932" width="9.296875" style="2"/>
    <col min="7933" max="7935" width="15.5" style="2" customWidth="1"/>
    <col min="7936" max="8188" width="9.296875" style="2"/>
    <col min="8189" max="8191" width="15.5" style="2" customWidth="1"/>
    <col min="8192" max="8444" width="9.296875" style="2"/>
    <col min="8445" max="8447" width="15.5" style="2" customWidth="1"/>
    <col min="8448" max="8700" width="9.296875" style="2"/>
    <col min="8701" max="8703" width="15.5" style="2" customWidth="1"/>
    <col min="8704" max="8956" width="9.296875" style="2"/>
    <col min="8957" max="8959" width="15.5" style="2" customWidth="1"/>
    <col min="8960" max="9212" width="9.296875" style="2"/>
    <col min="9213" max="9215" width="15.5" style="2" customWidth="1"/>
    <col min="9216" max="9468" width="9.296875" style="2"/>
    <col min="9469" max="9471" width="15.5" style="2" customWidth="1"/>
    <col min="9472" max="9724" width="9.296875" style="2"/>
    <col min="9725" max="9727" width="15.5" style="2" customWidth="1"/>
    <col min="9728" max="9980" width="9.296875" style="2"/>
    <col min="9981" max="9983" width="15.5" style="2" customWidth="1"/>
    <col min="9984" max="10236" width="9.296875" style="2"/>
    <col min="10237" max="10239" width="15.5" style="2" customWidth="1"/>
    <col min="10240" max="10492" width="9.296875" style="2"/>
    <col min="10493" max="10495" width="15.5" style="2" customWidth="1"/>
    <col min="10496" max="10748" width="9.296875" style="2"/>
    <col min="10749" max="10751" width="15.5" style="2" customWidth="1"/>
    <col min="10752" max="11004" width="9.296875" style="2"/>
    <col min="11005" max="11007" width="15.5" style="2" customWidth="1"/>
    <col min="11008" max="11260" width="9.296875" style="2"/>
    <col min="11261" max="11263" width="15.5" style="2" customWidth="1"/>
    <col min="11264" max="11516" width="9.296875" style="2"/>
    <col min="11517" max="11519" width="15.5" style="2" customWidth="1"/>
    <col min="11520" max="11772" width="9.296875" style="2"/>
    <col min="11773" max="11775" width="15.5" style="2" customWidth="1"/>
    <col min="11776" max="12028" width="9.296875" style="2"/>
    <col min="12029" max="12031" width="15.5" style="2" customWidth="1"/>
    <col min="12032" max="12284" width="9.296875" style="2"/>
    <col min="12285" max="12287" width="15.5" style="2" customWidth="1"/>
    <col min="12288" max="12540" width="9.296875" style="2"/>
    <col min="12541" max="12543" width="15.5" style="2" customWidth="1"/>
    <col min="12544" max="12796" width="9.296875" style="2"/>
    <col min="12797" max="12799" width="15.5" style="2" customWidth="1"/>
    <col min="12800" max="13052" width="9.296875" style="2"/>
    <col min="13053" max="13055" width="15.5" style="2" customWidth="1"/>
    <col min="13056" max="13308" width="9.296875" style="2"/>
    <col min="13309" max="13311" width="15.5" style="2" customWidth="1"/>
    <col min="13312" max="13564" width="9.296875" style="2"/>
    <col min="13565" max="13567" width="15.5" style="2" customWidth="1"/>
    <col min="13568" max="13820" width="9.296875" style="2"/>
    <col min="13821" max="13823" width="15.5" style="2" customWidth="1"/>
    <col min="13824" max="14076" width="9.296875" style="2"/>
    <col min="14077" max="14079" width="15.5" style="2" customWidth="1"/>
    <col min="14080" max="14332" width="9.296875" style="2"/>
    <col min="14333" max="14335" width="15.5" style="2" customWidth="1"/>
    <col min="14336" max="14588" width="9.296875" style="2"/>
    <col min="14589" max="14591" width="15.5" style="2" customWidth="1"/>
    <col min="14592" max="14844" width="9.296875" style="2"/>
    <col min="14845" max="14847" width="15.5" style="2" customWidth="1"/>
    <col min="14848" max="15100" width="9.296875" style="2"/>
    <col min="15101" max="15103" width="15.5" style="2" customWidth="1"/>
    <col min="15104" max="15356" width="9.296875" style="2"/>
    <col min="15357" max="15359" width="15.5" style="2" customWidth="1"/>
    <col min="15360" max="15612" width="9.296875" style="2"/>
    <col min="15613" max="15615" width="15.5" style="2" customWidth="1"/>
    <col min="15616" max="15868" width="9.296875" style="2"/>
    <col min="15869" max="15871" width="15.5" style="2" customWidth="1"/>
    <col min="15872" max="16124" width="9.296875" style="2"/>
    <col min="16125" max="16127" width="15.5" style="2" customWidth="1"/>
    <col min="16128" max="16384" width="9.296875" style="2"/>
  </cols>
  <sheetData>
    <row r="1" spans="1:7" ht="13.95" customHeight="1">
      <c r="B1" s="777" t="s">
        <v>304</v>
      </c>
      <c r="C1" s="778"/>
      <c r="G1" s="236" t="s">
        <v>233</v>
      </c>
    </row>
    <row r="2" spans="1:7" ht="15.9">
      <c r="A2" s="67" t="s">
        <v>571</v>
      </c>
      <c r="B2" s="69"/>
      <c r="C2" s="70"/>
      <c r="D2" s="71" t="s">
        <v>573</v>
      </c>
      <c r="G2" s="237" t="s">
        <v>234</v>
      </c>
    </row>
    <row r="3" spans="1:7" ht="12.9">
      <c r="A3" s="67" t="s">
        <v>572</v>
      </c>
      <c r="B3" s="68"/>
      <c r="C3" s="68"/>
      <c r="D3" s="72">
        <v>45236</v>
      </c>
    </row>
    <row r="4" spans="1:7" ht="14.15">
      <c r="B4" s="73"/>
      <c r="C4" s="73"/>
      <c r="D4" s="74"/>
    </row>
    <row r="5" spans="1:7" ht="15">
      <c r="A5" s="75" t="s">
        <v>144</v>
      </c>
      <c r="B5" s="76"/>
      <c r="C5" s="76"/>
      <c r="D5" s="76"/>
    </row>
    <row r="6" spans="1:7" ht="12.9">
      <c r="A6" s="77" t="s">
        <v>12</v>
      </c>
      <c r="B6" s="76"/>
      <c r="C6" s="76"/>
      <c r="D6" s="76"/>
    </row>
    <row r="7" spans="1:7" ht="12.9">
      <c r="A7" s="78"/>
      <c r="B7" s="79"/>
      <c r="C7" s="79"/>
      <c r="D7" s="78"/>
    </row>
    <row r="8" spans="1:7" ht="12.9">
      <c r="A8" s="80" t="s">
        <v>17</v>
      </c>
      <c r="B8" s="78"/>
      <c r="C8" s="80"/>
      <c r="D8" s="78"/>
      <c r="E8" s="145" t="s">
        <v>17</v>
      </c>
    </row>
    <row r="9" spans="1:7" ht="12.9">
      <c r="A9" s="80" t="s">
        <v>21</v>
      </c>
      <c r="B9" s="80" t="s">
        <v>18</v>
      </c>
      <c r="C9" s="80" t="s">
        <v>19</v>
      </c>
      <c r="D9" s="80" t="s">
        <v>20</v>
      </c>
      <c r="E9" s="145" t="s">
        <v>21</v>
      </c>
    </row>
    <row r="10" spans="1:7" ht="12.9">
      <c r="A10" s="80" t="s">
        <v>26</v>
      </c>
      <c r="B10" s="80" t="s">
        <v>23</v>
      </c>
      <c r="C10" s="80" t="s">
        <v>24</v>
      </c>
      <c r="D10" s="80" t="s">
        <v>25</v>
      </c>
      <c r="E10" s="145" t="s">
        <v>26</v>
      </c>
    </row>
    <row r="11" spans="1:7" ht="12.9">
      <c r="A11" s="78"/>
      <c r="B11" s="78"/>
      <c r="C11" s="78"/>
      <c r="D11" s="78"/>
      <c r="E11" s="146"/>
    </row>
    <row r="12" spans="1:7" ht="12.9">
      <c r="A12" s="81">
        <v>1</v>
      </c>
      <c r="B12" s="82">
        <f>'Credibility-1'!B12</f>
        <v>348952675</v>
      </c>
      <c r="C12" s="82">
        <f>'Credibility-1'!C12</f>
        <v>59666573</v>
      </c>
      <c r="D12" s="82">
        <f>'Credibility-1'!D12</f>
        <v>28011489</v>
      </c>
      <c r="E12" s="147">
        <v>1</v>
      </c>
    </row>
    <row r="13" spans="1:7" ht="12.9">
      <c r="A13" s="81">
        <v>0.99</v>
      </c>
      <c r="B13" s="82">
        <f>'Credibility-1'!B13</f>
        <v>343705583</v>
      </c>
      <c r="C13" s="82">
        <f>'Credibility-1'!C13</f>
        <v>58769388</v>
      </c>
      <c r="D13" s="82">
        <f>'Credibility-1'!D13</f>
        <v>27590295</v>
      </c>
      <c r="E13" s="147">
        <v>0.99</v>
      </c>
    </row>
    <row r="14" spans="1:7" ht="12.9">
      <c r="A14" s="81">
        <v>0.98</v>
      </c>
      <c r="B14" s="82">
        <f>'Credibility-1'!B14</f>
        <v>338485052</v>
      </c>
      <c r="C14" s="82">
        <f>'Credibility-1'!C14</f>
        <v>57876742</v>
      </c>
      <c r="D14" s="82">
        <f>'Credibility-1'!D14</f>
        <v>27171221</v>
      </c>
      <c r="E14" s="147">
        <v>0.98</v>
      </c>
    </row>
    <row r="15" spans="1:7" ht="12.9">
      <c r="A15" s="81">
        <v>0.97</v>
      </c>
      <c r="B15" s="82">
        <f>'Credibility-1'!B15</f>
        <v>333291224</v>
      </c>
      <c r="C15" s="82">
        <f>'Credibility-1'!C15</f>
        <v>56988662</v>
      </c>
      <c r="D15" s="82">
        <f>'Credibility-1'!D15</f>
        <v>26754292</v>
      </c>
      <c r="E15" s="147">
        <v>0.97</v>
      </c>
    </row>
    <row r="16" spans="1:7" ht="12.9">
      <c r="A16" s="81">
        <v>0.96</v>
      </c>
      <c r="B16" s="82">
        <f>'Credibility-1'!B16</f>
        <v>328124232</v>
      </c>
      <c r="C16" s="82">
        <f>'Credibility-1'!C16</f>
        <v>56105171</v>
      </c>
      <c r="D16" s="82">
        <f>'Credibility-1'!D16</f>
        <v>26339524</v>
      </c>
      <c r="E16" s="147">
        <v>0.96</v>
      </c>
    </row>
    <row r="17" spans="1:5" ht="12.9">
      <c r="A17" s="81">
        <v>0.95</v>
      </c>
      <c r="B17" s="82">
        <f>'Credibility-1'!B17</f>
        <v>322984219</v>
      </c>
      <c r="C17" s="82">
        <f>'Credibility-1'!C17</f>
        <v>55226292</v>
      </c>
      <c r="D17" s="82">
        <f>'Credibility-1'!D17</f>
        <v>25926929</v>
      </c>
      <c r="E17" s="147">
        <v>0.95</v>
      </c>
    </row>
    <row r="18" spans="1:5" ht="12.9">
      <c r="A18" s="81">
        <v>0.94</v>
      </c>
      <c r="B18" s="82">
        <f>'Credibility-1'!B18</f>
        <v>317871324</v>
      </c>
      <c r="C18" s="82">
        <f>'Credibility-1'!C18</f>
        <v>54352051</v>
      </c>
      <c r="D18" s="82">
        <f>'Credibility-1'!D18</f>
        <v>25516494</v>
      </c>
      <c r="E18" s="147">
        <v>0.94</v>
      </c>
    </row>
    <row r="19" spans="1:5" ht="12.9">
      <c r="A19" s="81">
        <v>0.93</v>
      </c>
      <c r="B19" s="82">
        <f>'Credibility-1'!B19</f>
        <v>312785699</v>
      </c>
      <c r="C19" s="82">
        <f>'Credibility-1'!C19</f>
        <v>53482471</v>
      </c>
      <c r="D19" s="82">
        <f>'Credibility-1'!D19</f>
        <v>25108261</v>
      </c>
      <c r="E19" s="147">
        <v>0.93</v>
      </c>
    </row>
    <row r="20" spans="1:5" ht="12.9">
      <c r="A20" s="81">
        <v>0.92</v>
      </c>
      <c r="B20" s="82">
        <f>'Credibility-1'!B20</f>
        <v>307727483</v>
      </c>
      <c r="C20" s="82">
        <f>'Credibility-1'!C20</f>
        <v>52617578</v>
      </c>
      <c r="D20" s="82">
        <f>'Credibility-1'!D20</f>
        <v>24702215</v>
      </c>
      <c r="E20" s="147">
        <v>0.92</v>
      </c>
    </row>
    <row r="21" spans="1:5" ht="12.9">
      <c r="A21" s="81">
        <v>0.91</v>
      </c>
      <c r="B21" s="82">
        <f>'Credibility-1'!B21</f>
        <v>302696826</v>
      </c>
      <c r="C21" s="82">
        <f>'Credibility-1'!C21</f>
        <v>51757400</v>
      </c>
      <c r="D21" s="82">
        <f>'Credibility-1'!D21</f>
        <v>24298398</v>
      </c>
      <c r="E21" s="147">
        <v>0.91</v>
      </c>
    </row>
    <row r="22" spans="1:5" ht="12.9">
      <c r="A22" s="81">
        <v>0.9</v>
      </c>
      <c r="B22" s="82">
        <f>'Credibility-1'!B22</f>
        <v>297693886</v>
      </c>
      <c r="C22" s="82">
        <f>'Credibility-1'!C22</f>
        <v>50901958</v>
      </c>
      <c r="D22" s="82">
        <f>'Credibility-1'!D22</f>
        <v>23896796</v>
      </c>
      <c r="E22" s="147">
        <v>0.9</v>
      </c>
    </row>
    <row r="23" spans="1:5" ht="12.9">
      <c r="A23" s="81">
        <v>0.89</v>
      </c>
      <c r="B23" s="82">
        <f>'Credibility-1'!B23</f>
        <v>292718810</v>
      </c>
      <c r="C23" s="82">
        <f>'Credibility-1'!C23</f>
        <v>50051284</v>
      </c>
      <c r="D23" s="82">
        <f>'Credibility-1'!D23</f>
        <v>23497423</v>
      </c>
      <c r="E23" s="147">
        <v>0.89</v>
      </c>
    </row>
    <row r="24" spans="1:5" ht="12.9">
      <c r="A24" s="81">
        <v>0.88</v>
      </c>
      <c r="B24" s="82">
        <f>'Credibility-1'!B24</f>
        <v>287771763</v>
      </c>
      <c r="C24" s="82">
        <f>'Credibility-1'!C24</f>
        <v>49205398</v>
      </c>
      <c r="D24" s="82">
        <f>'Credibility-1'!D24</f>
        <v>23100307</v>
      </c>
      <c r="E24" s="147">
        <v>0.88</v>
      </c>
    </row>
    <row r="25" spans="1:5" ht="12.9">
      <c r="A25" s="81">
        <v>0.87</v>
      </c>
      <c r="B25" s="82">
        <f>'Credibility-1'!B25</f>
        <v>282852899</v>
      </c>
      <c r="C25" s="82">
        <f>'Credibility-1'!C25</f>
        <v>48364334</v>
      </c>
      <c r="D25" s="82">
        <f>'Credibility-1'!D25</f>
        <v>22705460</v>
      </c>
      <c r="E25" s="147">
        <v>0.87</v>
      </c>
    </row>
    <row r="26" spans="1:5" ht="12.9">
      <c r="A26" s="81">
        <v>0.86</v>
      </c>
      <c r="B26" s="82">
        <f>'Credibility-1'!B26</f>
        <v>277962382</v>
      </c>
      <c r="C26" s="82">
        <f>'Credibility-1'!C26</f>
        <v>47528116</v>
      </c>
      <c r="D26" s="82">
        <f>'Credibility-1'!D26</f>
        <v>22312884</v>
      </c>
      <c r="E26" s="147">
        <v>0.86</v>
      </c>
    </row>
    <row r="27" spans="1:5" ht="12.9">
      <c r="A27" s="81">
        <v>0.85</v>
      </c>
      <c r="B27" s="82">
        <f>'Credibility-1'!B27</f>
        <v>273100377</v>
      </c>
      <c r="C27" s="82">
        <f>'Credibility-1'!C27</f>
        <v>46696772</v>
      </c>
      <c r="D27" s="82">
        <f>'Credibility-1'!D27</f>
        <v>21922591</v>
      </c>
      <c r="E27" s="147">
        <v>0.85</v>
      </c>
    </row>
    <row r="28" spans="1:5" ht="12.9">
      <c r="A28" s="81">
        <v>0.84</v>
      </c>
      <c r="B28" s="82">
        <f>'Credibility-1'!B28</f>
        <v>268267050</v>
      </c>
      <c r="C28" s="82">
        <f>'Credibility-1'!C28</f>
        <v>45870334</v>
      </c>
      <c r="D28" s="82">
        <f>'Credibility-1'!D28</f>
        <v>21534610</v>
      </c>
      <c r="E28" s="147">
        <v>0.84</v>
      </c>
    </row>
    <row r="29" spans="1:5" ht="12.9">
      <c r="A29" s="81">
        <v>0.83</v>
      </c>
      <c r="B29" s="82">
        <f>'Credibility-1'!B29</f>
        <v>263462578</v>
      </c>
      <c r="C29" s="82">
        <f>'Credibility-1'!C29</f>
        <v>45048829</v>
      </c>
      <c r="D29" s="82">
        <f>'Credibility-1'!D29</f>
        <v>21148940</v>
      </c>
      <c r="E29" s="147">
        <v>0.83</v>
      </c>
    </row>
    <row r="30" spans="1:5" ht="12.9">
      <c r="A30" s="81">
        <v>0.82</v>
      </c>
      <c r="B30" s="82">
        <f>'Credibility-1'!B30</f>
        <v>258687132</v>
      </c>
      <c r="C30" s="82">
        <f>'Credibility-1'!C30</f>
        <v>44232287</v>
      </c>
      <c r="D30" s="82">
        <f>'Credibility-1'!D30</f>
        <v>20765595</v>
      </c>
      <c r="E30" s="147">
        <v>0.82</v>
      </c>
    </row>
    <row r="31" spans="1:5" ht="12.9">
      <c r="A31" s="81">
        <v>0.81</v>
      </c>
      <c r="B31" s="82">
        <f>'Credibility-1'!B31</f>
        <v>253940889</v>
      </c>
      <c r="C31" s="82">
        <f>'Credibility-1'!C31</f>
        <v>43420740</v>
      </c>
      <c r="D31" s="82">
        <f>'Credibility-1'!D31</f>
        <v>20384603</v>
      </c>
      <c r="E31" s="147">
        <v>0.81</v>
      </c>
    </row>
    <row r="32" spans="1:5" ht="12.9">
      <c r="A32" s="81">
        <v>0.8</v>
      </c>
      <c r="B32" s="82">
        <f>'Credibility-1'!B32</f>
        <v>249224029</v>
      </c>
      <c r="C32" s="82">
        <f>'Credibility-1'!C32</f>
        <v>42614215</v>
      </c>
      <c r="D32" s="82">
        <f>'Credibility-1'!D32</f>
        <v>20005964</v>
      </c>
      <c r="E32" s="147">
        <v>0.8</v>
      </c>
    </row>
    <row r="33" spans="1:5" ht="12.9">
      <c r="A33" s="81">
        <v>0.79</v>
      </c>
      <c r="B33" s="82">
        <f>'Credibility-1'!B33</f>
        <v>244536741</v>
      </c>
      <c r="C33" s="82">
        <f>'Credibility-1'!C33</f>
        <v>41812746</v>
      </c>
      <c r="D33" s="82">
        <f>'Credibility-1'!D33</f>
        <v>19629704</v>
      </c>
      <c r="E33" s="147">
        <v>0.79</v>
      </c>
    </row>
    <row r="34" spans="1:5" ht="12.9">
      <c r="A34" s="81">
        <v>0.78</v>
      </c>
      <c r="B34" s="82">
        <f>'Credibility-1'!B34</f>
        <v>239879206</v>
      </c>
      <c r="C34" s="82">
        <f>'Credibility-1'!C34</f>
        <v>41016367</v>
      </c>
      <c r="D34" s="82">
        <f>'Credibility-1'!D34</f>
        <v>19255825</v>
      </c>
      <c r="E34" s="147">
        <v>0.78</v>
      </c>
    </row>
    <row r="35" spans="1:5" ht="12.9">
      <c r="A35" s="81">
        <v>0.77</v>
      </c>
      <c r="B35" s="82">
        <f>'Credibility-1'!B35</f>
        <v>235251623</v>
      </c>
      <c r="C35" s="82">
        <f>'Credibility-1'!C35</f>
        <v>40225108</v>
      </c>
      <c r="D35" s="82">
        <f>'Credibility-1'!D35</f>
        <v>18884368</v>
      </c>
      <c r="E35" s="147">
        <v>0.77</v>
      </c>
    </row>
    <row r="36" spans="1:5" ht="12.9">
      <c r="A36" s="81">
        <v>0.76</v>
      </c>
      <c r="B36" s="82">
        <f>'Credibility-1'!B36</f>
        <v>230654182</v>
      </c>
      <c r="C36" s="82">
        <f>'Credibility-1'!C36</f>
        <v>39439001</v>
      </c>
      <c r="D36" s="82">
        <f>'Credibility-1'!D36</f>
        <v>18515304</v>
      </c>
      <c r="E36" s="147">
        <v>0.76</v>
      </c>
    </row>
    <row r="37" spans="1:5" ht="12.9">
      <c r="A37" s="81">
        <v>0.75</v>
      </c>
      <c r="B37" s="82">
        <f>'Credibility-1'!B37</f>
        <v>226087080</v>
      </c>
      <c r="C37" s="82">
        <f>'Credibility-1'!C37</f>
        <v>38658084</v>
      </c>
      <c r="D37" s="82">
        <f>'Credibility-1'!D37</f>
        <v>18148689</v>
      </c>
      <c r="E37" s="147">
        <v>0.75</v>
      </c>
    </row>
    <row r="38" spans="1:5" ht="12.9">
      <c r="A38" s="81">
        <v>0.74</v>
      </c>
      <c r="B38" s="82">
        <f>'Credibility-1'!B38</f>
        <v>221550526</v>
      </c>
      <c r="C38" s="82">
        <f>'Credibility-1'!C38</f>
        <v>37882389</v>
      </c>
      <c r="D38" s="82">
        <f>'Credibility-1'!D38</f>
        <v>17784537</v>
      </c>
      <c r="E38" s="147">
        <v>0.74</v>
      </c>
    </row>
    <row r="39" spans="1:5" ht="12.9">
      <c r="A39" s="81">
        <v>0.73</v>
      </c>
      <c r="B39" s="82">
        <f>'Credibility-1'!B39</f>
        <v>217044723</v>
      </c>
      <c r="C39" s="82">
        <f>'Credibility-1'!C39</f>
        <v>37111952</v>
      </c>
      <c r="D39" s="82">
        <f>'Credibility-1'!D39</f>
        <v>17422834</v>
      </c>
      <c r="E39" s="147">
        <v>0.73</v>
      </c>
    </row>
    <row r="40" spans="1:5" ht="12.9">
      <c r="A40" s="81">
        <v>0.72</v>
      </c>
      <c r="B40" s="82">
        <f>'Credibility-1'!B40</f>
        <v>212569886</v>
      </c>
      <c r="C40" s="82">
        <f>'Credibility-1'!C40</f>
        <v>36346810</v>
      </c>
      <c r="D40" s="82">
        <f>'Credibility-1'!D40</f>
        <v>17063635</v>
      </c>
      <c r="E40" s="147">
        <v>0.72</v>
      </c>
    </row>
    <row r="41" spans="1:5" ht="12.9">
      <c r="A41" s="81">
        <v>0.71</v>
      </c>
      <c r="B41" s="82">
        <f>'Credibility-1'!B41</f>
        <v>208126227</v>
      </c>
      <c r="C41" s="82">
        <f>'Credibility-1'!C41</f>
        <v>35587000</v>
      </c>
      <c r="D41" s="82">
        <f>'Credibility-1'!D41</f>
        <v>16706926</v>
      </c>
      <c r="E41" s="147">
        <v>0.71</v>
      </c>
    </row>
    <row r="42" spans="1:5" ht="12.9">
      <c r="A42" s="81">
        <v>0.7</v>
      </c>
      <c r="B42" s="82">
        <f>'Credibility-1'!B42</f>
        <v>203713968</v>
      </c>
      <c r="C42" s="82">
        <f>'Credibility-1'!C42</f>
        <v>34832561</v>
      </c>
      <c r="D42" s="82">
        <f>'Credibility-1'!D42</f>
        <v>16352735</v>
      </c>
      <c r="E42" s="147">
        <v>0.7</v>
      </c>
    </row>
    <row r="43" spans="1:5" ht="12.9">
      <c r="A43" s="81">
        <v>0.69</v>
      </c>
      <c r="B43" s="82">
        <f>'Credibility-1'!B43</f>
        <v>199333334</v>
      </c>
      <c r="C43" s="82">
        <f>'Credibility-1'!C43</f>
        <v>34083526</v>
      </c>
      <c r="D43" s="82">
        <f>'Credibility-1'!D43</f>
        <v>16001089</v>
      </c>
      <c r="E43" s="147">
        <v>0.69</v>
      </c>
    </row>
    <row r="44" spans="1:5" ht="12.9">
      <c r="A44" s="81">
        <v>0.68</v>
      </c>
      <c r="B44" s="82">
        <f>'Credibility-1'!B44</f>
        <v>194984555</v>
      </c>
      <c r="C44" s="82">
        <f>'Credibility-1'!C44</f>
        <v>33339939</v>
      </c>
      <c r="D44" s="82">
        <f>'Credibility-1'!D44</f>
        <v>15652002</v>
      </c>
      <c r="E44" s="147">
        <v>0.68</v>
      </c>
    </row>
    <row r="45" spans="1:5" ht="12.9">
      <c r="A45" s="81">
        <v>0.67</v>
      </c>
      <c r="B45" s="82">
        <f>'Credibility-1'!B45</f>
        <v>190667866</v>
      </c>
      <c r="C45" s="82">
        <f>'Credibility-1'!C45</f>
        <v>32601838</v>
      </c>
      <c r="D45" s="82">
        <f>'Credibility-1'!D45</f>
        <v>15305488</v>
      </c>
      <c r="E45" s="147">
        <v>0.67</v>
      </c>
    </row>
    <row r="46" spans="1:5" ht="12.9">
      <c r="A46" s="81">
        <v>0.66</v>
      </c>
      <c r="B46" s="82">
        <f>'Credibility-1'!B46</f>
        <v>186383509</v>
      </c>
      <c r="C46" s="82">
        <f>'Credibility-1'!C46</f>
        <v>31869267</v>
      </c>
      <c r="D46" s="82">
        <f>'Credibility-1'!D46</f>
        <v>14961575</v>
      </c>
      <c r="E46" s="147">
        <v>0.66</v>
      </c>
    </row>
    <row r="47" spans="1:5" ht="12.9">
      <c r="A47" s="81">
        <v>0.65</v>
      </c>
      <c r="B47" s="82">
        <f>'Credibility-1'!B47</f>
        <v>182131727</v>
      </c>
      <c r="C47" s="82">
        <f>'Credibility-1'!C47</f>
        <v>31142264</v>
      </c>
      <c r="D47" s="82">
        <f>'Credibility-1'!D47</f>
        <v>14620261</v>
      </c>
      <c r="E47" s="147">
        <v>0.65</v>
      </c>
    </row>
    <row r="48" spans="1:5" ht="12.9">
      <c r="A48" s="81">
        <v>0.64</v>
      </c>
      <c r="B48" s="82">
        <f>'Credibility-1'!B48</f>
        <v>177912774</v>
      </c>
      <c r="C48" s="82">
        <f>'Credibility-1'!C48</f>
        <v>30420876</v>
      </c>
      <c r="D48" s="82">
        <f>'Credibility-1'!D48</f>
        <v>14281603</v>
      </c>
      <c r="E48" s="147">
        <v>0.64</v>
      </c>
    </row>
    <row r="49" spans="1:5" ht="12.9">
      <c r="A49" s="81">
        <v>0.63</v>
      </c>
      <c r="B49" s="82">
        <f>'Credibility-1'!B49</f>
        <v>173726905</v>
      </c>
      <c r="C49" s="82">
        <f>'Credibility-1'!C49</f>
        <v>29705145</v>
      </c>
      <c r="D49" s="82">
        <f>'Credibility-1'!D49</f>
        <v>13945587</v>
      </c>
      <c r="E49" s="147">
        <v>0.63</v>
      </c>
    </row>
    <row r="50" spans="1:5" ht="12.9">
      <c r="A50" s="81">
        <v>0.62</v>
      </c>
      <c r="B50" s="82">
        <f>'Credibility-1'!B50</f>
        <v>169574387</v>
      </c>
      <c r="C50" s="82">
        <f>'Credibility-1'!C50</f>
        <v>28995116</v>
      </c>
      <c r="D50" s="82">
        <f>'Credibility-1'!D50</f>
        <v>13612253</v>
      </c>
      <c r="E50" s="147">
        <v>0.62</v>
      </c>
    </row>
    <row r="51" spans="1:5" ht="12.9">
      <c r="A51" s="81">
        <v>0.61</v>
      </c>
      <c r="B51" s="82">
        <f>'Credibility-1'!B51</f>
        <v>165455490</v>
      </c>
      <c r="C51" s="82">
        <f>'Credibility-1'!C51</f>
        <v>28290834</v>
      </c>
      <c r="D51" s="82">
        <f>'Credibility-1'!D51</f>
        <v>13281616</v>
      </c>
      <c r="E51" s="147">
        <v>0.61</v>
      </c>
    </row>
    <row r="52" spans="1:5" ht="12.9">
      <c r="A52" s="81">
        <v>0.6</v>
      </c>
      <c r="B52" s="82">
        <f>'Credibility-1'!B52</f>
        <v>161370487</v>
      </c>
      <c r="C52" s="82">
        <f>'Credibility-1'!C52</f>
        <v>27592349</v>
      </c>
      <c r="D52" s="82">
        <f>'Credibility-1'!D52</f>
        <v>12953703</v>
      </c>
      <c r="E52" s="147">
        <v>0.6</v>
      </c>
    </row>
    <row r="53" spans="1:5" ht="12.9">
      <c r="A53" s="81">
        <v>0.59</v>
      </c>
      <c r="B53" s="82">
        <f>'Credibility-1'!B53</f>
        <v>157319667</v>
      </c>
      <c r="C53" s="82">
        <f>'Credibility-1'!C53</f>
        <v>26899711</v>
      </c>
      <c r="D53" s="82">
        <f>'Credibility-1'!D53</f>
        <v>12628528</v>
      </c>
      <c r="E53" s="147">
        <v>0.59</v>
      </c>
    </row>
    <row r="54" spans="1:5" ht="12.9">
      <c r="A54" s="81">
        <v>0.57999999999999996</v>
      </c>
      <c r="B54" s="82">
        <f>'Credibility-1'!B54</f>
        <v>153303313</v>
      </c>
      <c r="C54" s="82">
        <f>'Credibility-1'!C54</f>
        <v>26212963</v>
      </c>
      <c r="D54" s="82">
        <f>'Credibility-1'!D54</f>
        <v>12306118</v>
      </c>
      <c r="E54" s="147">
        <v>0.57999999999999996</v>
      </c>
    </row>
    <row r="55" spans="1:5" ht="12.9">
      <c r="A55" s="81">
        <v>0.56999999999999995</v>
      </c>
      <c r="B55" s="82">
        <f>'Credibility-1'!B55</f>
        <v>149321733</v>
      </c>
      <c r="C55" s="82">
        <f>'Credibility-1'!C55</f>
        <v>25532164</v>
      </c>
      <c r="D55" s="82">
        <f>'Credibility-1'!D55</f>
        <v>11986515</v>
      </c>
      <c r="E55" s="147">
        <v>0.56999999999999995</v>
      </c>
    </row>
    <row r="56" spans="1:5" ht="12.9">
      <c r="A56" s="81">
        <v>0.56000000000000005</v>
      </c>
      <c r="B56" s="82">
        <f>'Credibility-1'!B56</f>
        <v>145375225</v>
      </c>
      <c r="C56" s="82">
        <f>'Credibility-1'!C56</f>
        <v>24857358</v>
      </c>
      <c r="D56" s="82">
        <f>'Credibility-1'!D56</f>
        <v>11669705</v>
      </c>
      <c r="E56" s="147">
        <v>0.56000000000000005</v>
      </c>
    </row>
    <row r="57" spans="1:5" ht="12.9">
      <c r="A57" s="81">
        <v>0.55000000000000004</v>
      </c>
      <c r="B57" s="82">
        <f>'Credibility-1'!B57</f>
        <v>141464111</v>
      </c>
      <c r="C57" s="82">
        <f>'Credibility-1'!C57</f>
        <v>24188607</v>
      </c>
      <c r="D57" s="82">
        <f>'Credibility-1'!D57</f>
        <v>11355757</v>
      </c>
      <c r="E57" s="147">
        <v>0.55000000000000004</v>
      </c>
    </row>
    <row r="58" spans="1:5" ht="12.9">
      <c r="A58" s="81">
        <v>0.54</v>
      </c>
      <c r="B58" s="82">
        <f>'Credibility-1'!B58</f>
        <v>137588710</v>
      </c>
      <c r="C58" s="82">
        <f>'Credibility-1'!C58</f>
        <v>23525963</v>
      </c>
      <c r="D58" s="82">
        <f>'Credibility-1'!D58</f>
        <v>11044670</v>
      </c>
      <c r="E58" s="147">
        <v>0.54</v>
      </c>
    </row>
    <row r="59" spans="1:5" ht="12.9">
      <c r="A59" s="81">
        <v>0.53</v>
      </c>
      <c r="B59" s="82">
        <f>'Credibility-1'!B59</f>
        <v>133749355</v>
      </c>
      <c r="C59" s="82">
        <f>'Credibility-1'!C59</f>
        <v>22869479</v>
      </c>
      <c r="D59" s="82">
        <f>'Credibility-1'!D59</f>
        <v>10736473</v>
      </c>
      <c r="E59" s="147">
        <v>0.53</v>
      </c>
    </row>
    <row r="60" spans="1:5" ht="12.9">
      <c r="A60" s="81">
        <v>0.52</v>
      </c>
      <c r="B60" s="82">
        <f>'Credibility-1'!B60</f>
        <v>129946387</v>
      </c>
      <c r="C60" s="82">
        <f>'Credibility-1'!C60</f>
        <v>22219220</v>
      </c>
      <c r="D60" s="82">
        <f>'Credibility-1'!D60</f>
        <v>10431192</v>
      </c>
      <c r="E60" s="147">
        <v>0.52</v>
      </c>
    </row>
    <row r="61" spans="1:5" ht="12.9">
      <c r="A61" s="81">
        <v>0.51</v>
      </c>
      <c r="B61" s="82">
        <f>'Credibility-1'!B61</f>
        <v>126180160</v>
      </c>
      <c r="C61" s="82">
        <f>'Credibility-1'!C61</f>
        <v>21575241</v>
      </c>
      <c r="D61" s="82">
        <f>'Credibility-1'!D61</f>
        <v>10128869</v>
      </c>
      <c r="E61" s="147">
        <v>0.51</v>
      </c>
    </row>
    <row r="62" spans="1:5" ht="12.9">
      <c r="A62" s="81">
        <v>0.5</v>
      </c>
      <c r="B62" s="82">
        <f>'Credibility-1'!B62</f>
        <v>122451032</v>
      </c>
      <c r="C62" s="82">
        <f>'Credibility-1'!C62</f>
        <v>20937607</v>
      </c>
      <c r="D62" s="82">
        <f>'Credibility-1'!D62</f>
        <v>9829518</v>
      </c>
      <c r="E62" s="147">
        <v>0.5</v>
      </c>
    </row>
    <row r="63" spans="1:5" ht="12.9">
      <c r="A63" s="81">
        <v>0.49</v>
      </c>
      <c r="B63" s="82">
        <f>'Credibility-1'!B63</f>
        <v>118759383</v>
      </c>
      <c r="C63" s="82">
        <f>'Credibility-1'!C63</f>
        <v>20306379</v>
      </c>
      <c r="D63" s="82">
        <f>'Credibility-1'!D63</f>
        <v>9533181</v>
      </c>
      <c r="E63" s="147">
        <v>0.49</v>
      </c>
    </row>
    <row r="64" spans="1:5" ht="12.9">
      <c r="A64" s="81">
        <v>0.48</v>
      </c>
      <c r="B64" s="82">
        <f>'Credibility-1'!B64</f>
        <v>115105589</v>
      </c>
      <c r="C64" s="82">
        <f>'Credibility-1'!C64</f>
        <v>19681628</v>
      </c>
      <c r="D64" s="82">
        <f>'Credibility-1'!D64</f>
        <v>9239870</v>
      </c>
      <c r="E64" s="147">
        <v>0.48</v>
      </c>
    </row>
    <row r="65" spans="1:5" ht="12.9">
      <c r="A65" s="81">
        <v>0.47</v>
      </c>
      <c r="B65" s="82">
        <f>'Credibility-1'!B65</f>
        <v>111490052</v>
      </c>
      <c r="C65" s="82">
        <f>'Credibility-1'!C65</f>
        <v>19063415</v>
      </c>
      <c r="D65" s="82">
        <f>'Credibility-1'!D65</f>
        <v>8949640</v>
      </c>
      <c r="E65" s="147">
        <v>0.47</v>
      </c>
    </row>
    <row r="66" spans="1:5" ht="12.9">
      <c r="A66" s="81">
        <v>0.46</v>
      </c>
      <c r="B66" s="82">
        <f>'Credibility-1'!B66</f>
        <v>107913180</v>
      </c>
      <c r="C66" s="82">
        <f>'Credibility-1'!C66</f>
        <v>18451814</v>
      </c>
      <c r="D66" s="82">
        <f>'Credibility-1'!D66</f>
        <v>8662520</v>
      </c>
      <c r="E66" s="147">
        <v>0.46</v>
      </c>
    </row>
    <row r="67" spans="1:5" ht="12.9">
      <c r="A67" s="81">
        <v>0.45</v>
      </c>
      <c r="B67" s="82">
        <f>'Credibility-1'!B67</f>
        <v>104375399</v>
      </c>
      <c r="C67" s="82">
        <f>'Credibility-1'!C67</f>
        <v>17846897</v>
      </c>
      <c r="D67" s="82">
        <f>'Credibility-1'!D67</f>
        <v>8378524</v>
      </c>
      <c r="E67" s="147">
        <v>0.45</v>
      </c>
    </row>
    <row r="68" spans="1:5" ht="12.9">
      <c r="A68" s="81">
        <v>0.44</v>
      </c>
      <c r="B68" s="82">
        <f>'Credibility-1'!B68</f>
        <v>100877138</v>
      </c>
      <c r="C68" s="82">
        <f>'Credibility-1'!C68</f>
        <v>17248738</v>
      </c>
      <c r="D68" s="82">
        <f>'Credibility-1'!D68</f>
        <v>8097719</v>
      </c>
      <c r="E68" s="147">
        <v>0.44</v>
      </c>
    </row>
    <row r="69" spans="1:5" ht="12.9">
      <c r="A69" s="81">
        <v>0.43</v>
      </c>
      <c r="B69" s="82">
        <f>'Credibility-1'!B69</f>
        <v>97418854</v>
      </c>
      <c r="C69" s="82">
        <f>'Credibility-1'!C69</f>
        <v>16657416</v>
      </c>
      <c r="D69" s="82">
        <f>'Credibility-1'!D69</f>
        <v>7820106</v>
      </c>
      <c r="E69" s="147">
        <v>0.43</v>
      </c>
    </row>
    <row r="70" spans="1:5" ht="12.9">
      <c r="A70" s="81">
        <v>0.42</v>
      </c>
      <c r="B70" s="82">
        <f>'Credibility-1'!B70</f>
        <v>94001015</v>
      </c>
      <c r="C70" s="82">
        <f>'Credibility-1'!C70</f>
        <v>16073008</v>
      </c>
      <c r="D70" s="82">
        <f>'Credibility-1'!D70</f>
        <v>7545754</v>
      </c>
      <c r="E70" s="147">
        <v>0.42</v>
      </c>
    </row>
    <row r="71" spans="1:5" ht="12.9">
      <c r="A71" s="81">
        <v>0.41</v>
      </c>
      <c r="B71" s="82">
        <f>'Credibility-1'!B71</f>
        <v>90624105</v>
      </c>
      <c r="C71" s="82">
        <f>'Credibility-1'!C71</f>
        <v>15495597</v>
      </c>
      <c r="D71" s="82">
        <f>'Credibility-1'!D71</f>
        <v>7274676</v>
      </c>
      <c r="E71" s="147">
        <v>0.41</v>
      </c>
    </row>
    <row r="72" spans="1:5" ht="12.9">
      <c r="A72" s="81">
        <v>0.4</v>
      </c>
      <c r="B72" s="82">
        <f>'Credibility-1'!B72</f>
        <v>87288626</v>
      </c>
      <c r="C72" s="82">
        <f>'Credibility-1'!C72</f>
        <v>14925273</v>
      </c>
      <c r="D72" s="82">
        <f>'Credibility-1'!D72</f>
        <v>7006927</v>
      </c>
      <c r="E72" s="147">
        <v>0.4</v>
      </c>
    </row>
    <row r="73" spans="1:5" ht="12.9">
      <c r="A73" s="81">
        <v>0.39</v>
      </c>
      <c r="B73" s="82">
        <f>'Credibility-1'!B73</f>
        <v>83995096</v>
      </c>
      <c r="C73" s="82">
        <f>'Credibility-1'!C73</f>
        <v>14362120</v>
      </c>
      <c r="D73" s="82">
        <f>'Credibility-1'!D73</f>
        <v>6742536</v>
      </c>
      <c r="E73" s="147">
        <v>0.39</v>
      </c>
    </row>
    <row r="74" spans="1:5" ht="12.9">
      <c r="A74" s="81">
        <v>0.38</v>
      </c>
      <c r="B74" s="82">
        <f>'Credibility-1'!B74</f>
        <v>80744065</v>
      </c>
      <c r="C74" s="82">
        <f>'Credibility-1'!C74</f>
        <v>13806232</v>
      </c>
      <c r="D74" s="82">
        <f>'Credibility-1'!D74</f>
        <v>6481571</v>
      </c>
      <c r="E74" s="147">
        <v>0.38</v>
      </c>
    </row>
    <row r="75" spans="1:5" ht="12.9">
      <c r="A75" s="81">
        <v>0.37</v>
      </c>
      <c r="B75" s="82">
        <f>'Credibility-1'!B75</f>
        <v>77536086</v>
      </c>
      <c r="C75" s="82">
        <f>'Credibility-1'!C75</f>
        <v>13257709</v>
      </c>
      <c r="D75" s="82">
        <f>'Credibility-1'!D75</f>
        <v>6224058</v>
      </c>
      <c r="E75" s="147">
        <v>0.37</v>
      </c>
    </row>
    <row r="76" spans="1:5" ht="12.9">
      <c r="A76" s="81">
        <v>0.36</v>
      </c>
      <c r="B76" s="82">
        <f>'Credibility-1'!B76</f>
        <v>74371752</v>
      </c>
      <c r="C76" s="82">
        <f>'Credibility-1'!C76</f>
        <v>12716647</v>
      </c>
      <c r="D76" s="82">
        <f>'Credibility-1'!D76</f>
        <v>5970041</v>
      </c>
      <c r="E76" s="147">
        <v>0.36</v>
      </c>
    </row>
    <row r="77" spans="1:5" ht="12.9">
      <c r="A77" s="81">
        <v>0.35</v>
      </c>
      <c r="B77" s="82">
        <f>'Credibility-1'!B77</f>
        <v>71251672</v>
      </c>
      <c r="C77" s="82">
        <f>'Credibility-1'!C77</f>
        <v>12183152</v>
      </c>
      <c r="D77" s="82">
        <f>'Credibility-1'!D77</f>
        <v>5719586</v>
      </c>
      <c r="E77" s="147">
        <v>0.35</v>
      </c>
    </row>
    <row r="78" spans="1:5" ht="12.9">
      <c r="A78" s="81">
        <v>0.34</v>
      </c>
      <c r="B78" s="82">
        <f>'Credibility-1'!B78</f>
        <v>68176482</v>
      </c>
      <c r="C78" s="82">
        <f>'Credibility-1'!C78</f>
        <v>11657332</v>
      </c>
      <c r="D78" s="82">
        <f>'Credibility-1'!D78</f>
        <v>5472737</v>
      </c>
      <c r="E78" s="147">
        <v>0.34</v>
      </c>
    </row>
    <row r="79" spans="1:5" ht="12.9">
      <c r="A79" s="81">
        <v>0.33</v>
      </c>
      <c r="B79" s="82">
        <f>'Credibility-1'!B79</f>
        <v>65146847</v>
      </c>
      <c r="C79" s="82">
        <f>'Credibility-1'!C79</f>
        <v>11139304</v>
      </c>
      <c r="D79" s="82">
        <f>'Credibility-1'!D79</f>
        <v>5229533</v>
      </c>
      <c r="E79" s="147">
        <v>0.33</v>
      </c>
    </row>
    <row r="80" spans="1:5" ht="12.9">
      <c r="A80" s="81">
        <v>0.32</v>
      </c>
      <c r="B80" s="82">
        <f>'Credibility-1'!B80</f>
        <v>62163463</v>
      </c>
      <c r="C80" s="82">
        <f>'Credibility-1'!C80</f>
        <v>10629181</v>
      </c>
      <c r="D80" s="82">
        <f>'Credibility-1'!D80</f>
        <v>4990044</v>
      </c>
      <c r="E80" s="147">
        <v>0.32</v>
      </c>
    </row>
    <row r="81" spans="1:5" ht="12.9">
      <c r="A81" s="81">
        <v>0.31</v>
      </c>
      <c r="B81" s="82">
        <f>'Credibility-1'!B81</f>
        <v>59227063</v>
      </c>
      <c r="C81" s="82">
        <f>'Credibility-1'!C81</f>
        <v>10127093</v>
      </c>
      <c r="D81" s="82">
        <f>'Credibility-1'!D81</f>
        <v>4754339</v>
      </c>
      <c r="E81" s="147">
        <v>0.31</v>
      </c>
    </row>
    <row r="82" spans="1:5" ht="12.9">
      <c r="A82" s="81">
        <v>0.3</v>
      </c>
      <c r="B82" s="82">
        <f>'Credibility-1'!B82</f>
        <v>56338406</v>
      </c>
      <c r="C82" s="82">
        <f>'Credibility-1'!C82</f>
        <v>9633169</v>
      </c>
      <c r="D82" s="82">
        <f>'Credibility-1'!D82</f>
        <v>4522458</v>
      </c>
      <c r="E82" s="147">
        <v>0.3</v>
      </c>
    </row>
    <row r="83" spans="1:5" ht="12.9">
      <c r="A83" s="81">
        <v>0.28999999999999998</v>
      </c>
      <c r="B83" s="82">
        <f>'Credibility-1'!B83</f>
        <v>53498293</v>
      </c>
      <c r="C83" s="82">
        <f>'Credibility-1'!C83</f>
        <v>9147546</v>
      </c>
      <c r="D83" s="82">
        <f>'Credibility-1'!D83</f>
        <v>4294471</v>
      </c>
      <c r="E83" s="147">
        <v>0.28999999999999998</v>
      </c>
    </row>
    <row r="84" spans="1:5" ht="12.9">
      <c r="A84" s="81">
        <v>0.28000000000000003</v>
      </c>
      <c r="B84" s="82">
        <f>'Credibility-1'!B84</f>
        <v>50707575</v>
      </c>
      <c r="C84" s="82">
        <f>'Credibility-1'!C84</f>
        <v>8670368</v>
      </c>
      <c r="D84" s="82">
        <f>'Credibility-1'!D84</f>
        <v>4070446</v>
      </c>
      <c r="E84" s="147">
        <v>0.28000000000000003</v>
      </c>
    </row>
    <row r="85" spans="1:5" ht="12.9">
      <c r="A85" s="81">
        <v>0.27</v>
      </c>
      <c r="B85" s="82">
        <f>'Credibility-1'!B85</f>
        <v>47967139</v>
      </c>
      <c r="C85" s="82">
        <f>'Credibility-1'!C85</f>
        <v>8201785</v>
      </c>
      <c r="D85" s="82">
        <f>'Credibility-1'!D85</f>
        <v>3850466</v>
      </c>
      <c r="E85" s="147">
        <v>0.27</v>
      </c>
    </row>
    <row r="86" spans="1:5" ht="12.9">
      <c r="A86" s="81">
        <v>0.26</v>
      </c>
      <c r="B86" s="82">
        <f>'Credibility-1'!B86</f>
        <v>45277929</v>
      </c>
      <c r="C86" s="82">
        <f>'Credibility-1'!C86</f>
        <v>7741965</v>
      </c>
      <c r="D86" s="82">
        <f>'Credibility-1'!D86</f>
        <v>3634600</v>
      </c>
      <c r="E86" s="147">
        <v>0.26</v>
      </c>
    </row>
    <row r="87" spans="1:5" ht="12.9">
      <c r="A87" s="81">
        <v>0.25</v>
      </c>
      <c r="B87" s="82">
        <f>'Credibility-1'!B87</f>
        <v>42640935</v>
      </c>
      <c r="C87" s="82">
        <f>'Credibility-1'!C87</f>
        <v>7291072</v>
      </c>
      <c r="D87" s="82">
        <f>'Credibility-1'!D87</f>
        <v>3422916</v>
      </c>
      <c r="E87" s="147">
        <v>0.25</v>
      </c>
    </row>
    <row r="88" spans="1:5" ht="12.9">
      <c r="A88" s="81">
        <v>0.24</v>
      </c>
      <c r="B88" s="82">
        <f>'Credibility-1'!B88</f>
        <v>40057211</v>
      </c>
      <c r="C88" s="82">
        <f>'Credibility-1'!C88</f>
        <v>6849287</v>
      </c>
      <c r="D88" s="82">
        <f>'Credibility-1'!D88</f>
        <v>3215511</v>
      </c>
      <c r="E88" s="147">
        <v>0.24</v>
      </c>
    </row>
    <row r="89" spans="1:5" ht="12.9">
      <c r="A89" s="81">
        <v>0.23</v>
      </c>
      <c r="B89" s="82">
        <f>'Credibility-1'!B89</f>
        <v>37527890</v>
      </c>
      <c r="C89" s="82">
        <f>'Credibility-1'!C89</f>
        <v>6416804</v>
      </c>
      <c r="D89" s="82">
        <f>'Credibility-1'!D89</f>
        <v>3012482</v>
      </c>
      <c r="E89" s="147">
        <v>0.23</v>
      </c>
    </row>
    <row r="90" spans="1:5" ht="12.9">
      <c r="A90" s="81">
        <v>0.22</v>
      </c>
      <c r="B90" s="82">
        <f>'Credibility-1'!B90</f>
        <v>35054157</v>
      </c>
      <c r="C90" s="82">
        <f>'Credibility-1'!C90</f>
        <v>5993827</v>
      </c>
      <c r="D90" s="82">
        <f>'Credibility-1'!D90</f>
        <v>2813910</v>
      </c>
      <c r="E90" s="147">
        <v>0.22</v>
      </c>
    </row>
    <row r="91" spans="1:5" ht="12.9">
      <c r="A91" s="81">
        <v>0.21</v>
      </c>
      <c r="B91" s="82">
        <f>'Credibility-1'!B91</f>
        <v>32637298</v>
      </c>
      <c r="C91" s="82">
        <f>'Credibility-1'!C91</f>
        <v>5580575</v>
      </c>
      <c r="D91" s="82">
        <f>'Credibility-1'!D91</f>
        <v>2619891</v>
      </c>
      <c r="E91" s="147">
        <v>0.21</v>
      </c>
    </row>
    <row r="92" spans="1:5" ht="12.9">
      <c r="A92" s="81">
        <v>0.2</v>
      </c>
      <c r="B92" s="82">
        <f>'Credibility-1'!B92</f>
        <v>30278681</v>
      </c>
      <c r="C92" s="82">
        <f>'Credibility-1'!C92</f>
        <v>5177280</v>
      </c>
      <c r="D92" s="82">
        <f>'Credibility-1'!D92</f>
        <v>2430565</v>
      </c>
      <c r="E92" s="147">
        <v>0.2</v>
      </c>
    </row>
    <row r="93" spans="1:5" ht="12.9">
      <c r="A93" s="81">
        <v>0.19</v>
      </c>
      <c r="B93" s="82">
        <f>'Credibility-1'!B93</f>
        <v>27979784</v>
      </c>
      <c r="C93" s="82">
        <f>'Credibility-1'!C93</f>
        <v>4784196</v>
      </c>
      <c r="D93" s="82">
        <f>'Credibility-1'!D93</f>
        <v>2246026</v>
      </c>
      <c r="E93" s="147">
        <v>0.19</v>
      </c>
    </row>
    <row r="94" spans="1:5" ht="12.9">
      <c r="A94" s="81">
        <v>0.18</v>
      </c>
      <c r="B94" s="82">
        <f>'Credibility-1'!B94</f>
        <v>25742199</v>
      </c>
      <c r="C94" s="82">
        <f>'Credibility-1'!C94</f>
        <v>4401597</v>
      </c>
      <c r="D94" s="82">
        <f>'Credibility-1'!D94</f>
        <v>2066399</v>
      </c>
      <c r="E94" s="147">
        <v>0.18</v>
      </c>
    </row>
    <row r="95" spans="1:5" ht="12.9">
      <c r="A95" s="81">
        <v>0.17</v>
      </c>
      <c r="B95" s="82">
        <f>'Credibility-1'!B95</f>
        <v>23567657</v>
      </c>
      <c r="C95" s="82">
        <f>'Credibility-1'!C95</f>
        <v>4029777</v>
      </c>
      <c r="D95" s="82">
        <f>'Credibility-1'!D95</f>
        <v>1891849</v>
      </c>
      <c r="E95" s="147">
        <v>0.17</v>
      </c>
    </row>
    <row r="96" spans="1:5" ht="12.9">
      <c r="A96" s="81">
        <v>0.16</v>
      </c>
      <c r="B96" s="82">
        <f>'Credibility-1'!B96</f>
        <v>21458039</v>
      </c>
      <c r="C96" s="82">
        <f>'Credibility-1'!C96</f>
        <v>3669058</v>
      </c>
      <c r="D96" s="82">
        <f>'Credibility-1'!D96</f>
        <v>1722499</v>
      </c>
      <c r="E96" s="147">
        <v>0.16</v>
      </c>
    </row>
    <row r="97" spans="1:5" ht="12.9">
      <c r="A97" s="81">
        <v>0.15</v>
      </c>
      <c r="B97" s="82">
        <f>'Credibility-1'!B97</f>
        <v>19415415</v>
      </c>
      <c r="C97" s="82">
        <f>'Credibility-1'!C97</f>
        <v>3319795</v>
      </c>
      <c r="D97" s="82">
        <f>'Credibility-1'!D97</f>
        <v>1558529</v>
      </c>
      <c r="E97" s="147">
        <v>0.15</v>
      </c>
    </row>
    <row r="98" spans="1:5" ht="12.9">
      <c r="A98" s="81">
        <v>0.14000000000000001</v>
      </c>
      <c r="B98" s="82">
        <f>'Credibility-1'!B98</f>
        <v>17442057</v>
      </c>
      <c r="C98" s="82">
        <f>'Credibility-1'!C98</f>
        <v>2982375</v>
      </c>
      <c r="D98" s="82">
        <f>'Credibility-1'!D98</f>
        <v>1400131</v>
      </c>
      <c r="E98" s="147">
        <v>0.14000000000000001</v>
      </c>
    </row>
    <row r="99" spans="1:5" ht="12.9">
      <c r="A99" s="81">
        <v>0.13</v>
      </c>
      <c r="B99" s="82">
        <f>'Credibility-1'!B99</f>
        <v>15540483</v>
      </c>
      <c r="C99" s="82">
        <f>'Credibility-1'!C99</f>
        <v>2657231</v>
      </c>
      <c r="D99" s="82">
        <f>'Credibility-1'!D99</f>
        <v>1247484</v>
      </c>
      <c r="E99" s="147">
        <v>0.13</v>
      </c>
    </row>
    <row r="100" spans="1:5" ht="12.9">
      <c r="A100" s="81">
        <v>0.12</v>
      </c>
      <c r="B100" s="82">
        <f>'Credibility-1'!B100</f>
        <v>13713520</v>
      </c>
      <c r="C100" s="82">
        <f>'Credibility-1'!C100</f>
        <v>2344843</v>
      </c>
      <c r="D100" s="82">
        <f>'Credibility-1'!D100</f>
        <v>1100821</v>
      </c>
      <c r="E100" s="147">
        <v>0.12</v>
      </c>
    </row>
    <row r="101" spans="1:5" ht="12.9">
      <c r="A101" s="81">
        <v>0.11</v>
      </c>
      <c r="B101" s="82">
        <f>'Credibility-1'!B101</f>
        <v>11964353</v>
      </c>
      <c r="C101" s="82">
        <f>'Credibility-1'!C101</f>
        <v>2045758</v>
      </c>
      <c r="D101" s="82">
        <f>'Credibility-1'!D101</f>
        <v>960419</v>
      </c>
      <c r="E101" s="147">
        <v>0.11</v>
      </c>
    </row>
    <row r="102" spans="1:5" ht="12.9">
      <c r="A102" s="81">
        <v>0.1</v>
      </c>
      <c r="B102" s="82">
        <f>'Credibility-1'!B102</f>
        <v>10296602</v>
      </c>
      <c r="C102" s="82">
        <f>'Credibility-1'!C102</f>
        <v>1760593</v>
      </c>
      <c r="D102" s="82">
        <f>'Credibility-1'!D102</f>
        <v>826538</v>
      </c>
      <c r="E102" s="147">
        <v>0.1</v>
      </c>
    </row>
    <row r="103" spans="1:5" ht="12.9">
      <c r="A103" s="81">
        <v>0.09</v>
      </c>
      <c r="B103" s="82">
        <f>'Credibility-1'!B103</f>
        <v>8714460</v>
      </c>
      <c r="C103" s="82">
        <f>'Credibility-1'!C103</f>
        <v>1490067</v>
      </c>
      <c r="D103" s="82">
        <f>'Credibility-1'!D103</f>
        <v>699536</v>
      </c>
      <c r="E103" s="147">
        <v>0.09</v>
      </c>
    </row>
    <row r="104" spans="1:5" ht="12.9">
      <c r="A104" s="81">
        <v>0.08</v>
      </c>
      <c r="B104" s="82">
        <f>'Credibility-1'!B104</f>
        <v>7222842</v>
      </c>
      <c r="C104" s="82">
        <f>'Credibility-1'!C104</f>
        <v>1235016</v>
      </c>
      <c r="D104" s="82">
        <f>'Credibility-1'!D104</f>
        <v>579798</v>
      </c>
      <c r="E104" s="147">
        <v>0.08</v>
      </c>
    </row>
    <row r="105" spans="1:5" ht="12.9">
      <c r="A105" s="81">
        <v>7.0000000000000007E-2</v>
      </c>
      <c r="B105" s="82">
        <f>'Credibility-1'!B105</f>
        <v>5827615</v>
      </c>
      <c r="C105" s="82">
        <f>'Credibility-1'!C105</f>
        <v>996451</v>
      </c>
      <c r="D105" s="82">
        <f>'Credibility-1'!D105</f>
        <v>467806</v>
      </c>
      <c r="E105" s="147">
        <v>7.0000000000000007E-2</v>
      </c>
    </row>
    <row r="106" spans="1:5" ht="12.9">
      <c r="A106" s="81">
        <v>0.06</v>
      </c>
      <c r="B106" s="82">
        <f>'Credibility-1'!B106</f>
        <v>4535974</v>
      </c>
      <c r="C106" s="82">
        <f>'Credibility-1'!C106</f>
        <v>775595</v>
      </c>
      <c r="D106" s="82">
        <f>'Credibility-1'!D106</f>
        <v>364111</v>
      </c>
      <c r="E106" s="147">
        <v>0.06</v>
      </c>
    </row>
    <row r="107" spans="1:5" ht="12.9">
      <c r="A107" s="81">
        <v>0.05</v>
      </c>
      <c r="B107" s="82">
        <f>'Credibility-1'!B107</f>
        <v>3357003</v>
      </c>
      <c r="C107" s="82">
        <f>'Credibility-1'!C107</f>
        <v>574008</v>
      </c>
      <c r="D107" s="82">
        <f>'Credibility-1'!D107</f>
        <v>269482</v>
      </c>
      <c r="E107" s="147">
        <v>0.05</v>
      </c>
    </row>
    <row r="108" spans="1:5" ht="12.9">
      <c r="A108" s="81">
        <v>0.04</v>
      </c>
      <c r="B108" s="82">
        <f>'Credibility-1'!B108</f>
        <v>2302731</v>
      </c>
      <c r="C108" s="82">
        <f>'Credibility-1'!C108</f>
        <v>393741</v>
      </c>
      <c r="D108" s="82">
        <f>'Credibility-1'!D108</f>
        <v>184855</v>
      </c>
      <c r="E108" s="147">
        <v>0.04</v>
      </c>
    </row>
    <row r="109" spans="1:5" ht="12.9">
      <c r="A109" s="81">
        <v>0.03</v>
      </c>
      <c r="B109" s="82">
        <f>'Credibility-1'!B109</f>
        <v>1390154</v>
      </c>
      <c r="C109" s="82">
        <f>'Credibility-1'!C109</f>
        <v>237701</v>
      </c>
      <c r="D109" s="82">
        <f>'Credibility-1'!D109</f>
        <v>111593</v>
      </c>
      <c r="E109" s="147">
        <v>0.03</v>
      </c>
    </row>
    <row r="110" spans="1:5" ht="12.9">
      <c r="A110" s="81">
        <v>0.02</v>
      </c>
      <c r="B110" s="82">
        <f>'Credibility-1'!B110</f>
        <v>646111</v>
      </c>
      <c r="C110" s="82">
        <f>'Credibility-1'!C110</f>
        <v>110478</v>
      </c>
      <c r="D110" s="82">
        <f>'Credibility-1'!D110</f>
        <v>51868</v>
      </c>
      <c r="E110" s="147">
        <v>0.02</v>
      </c>
    </row>
    <row r="111" spans="1:5" ht="12.9">
      <c r="A111" s="81">
        <v>0.01</v>
      </c>
      <c r="B111" s="82">
        <f>'Credibility-1'!B111</f>
        <v>124356</v>
      </c>
      <c r="C111" s="82">
        <f>'Credibility-1'!C111</f>
        <v>21264</v>
      </c>
      <c r="D111" s="82">
        <f>'Credibility-1'!D111</f>
        <v>9988</v>
      </c>
      <c r="E111" s="147">
        <v>0.01</v>
      </c>
    </row>
    <row r="112" spans="1:5" ht="12.9">
      <c r="A112" s="81">
        <v>0</v>
      </c>
      <c r="B112" s="82">
        <f>'Credibility-1'!B112</f>
        <v>0</v>
      </c>
      <c r="C112" s="82">
        <f>'Credibility-1'!C112</f>
        <v>0</v>
      </c>
      <c r="D112" s="82">
        <f>'Credibility-1'!D112</f>
        <v>0</v>
      </c>
      <c r="E112" s="147">
        <v>0</v>
      </c>
    </row>
    <row r="114" spans="1:4" ht="12.9">
      <c r="A114" s="2" t="s">
        <v>145</v>
      </c>
      <c r="C114" s="11">
        <f>'Credibility-1'!C114</f>
        <v>0</v>
      </c>
    </row>
    <row r="115" spans="1:4" ht="12.9">
      <c r="D115" s="83"/>
    </row>
    <row r="116" spans="1:4">
      <c r="C116" s="84" t="s">
        <v>302</v>
      </c>
    </row>
  </sheetData>
  <mergeCells count="1">
    <mergeCell ref="B1:C1"/>
  </mergeCells>
  <pageMargins left="1" right="0.75" top="0.5" bottom="0.5" header="0.25" footer="0.25"/>
  <pageSetup scale="98" orientation="portrait" r:id="rId1"/>
  <headerFooter alignWithMargins="0">
    <oddFooter>&amp;L&amp;"Times New Roman,Bold"&amp;11&amp;Z&amp;F&amp;RPage &amp;P of &amp;N
Worksheet = &amp;A</oddFooter>
  </headerFooter>
  <rowBreaks count="1" manualBreakCount="1">
    <brk id="57" max="4" man="1"/>
  </rowBreaks>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8E14384-66A8-4638-85C5-5E7E4976C71B}">
  <sheetPr codeName="Sheet10"/>
  <dimension ref="A1:BL2354"/>
  <sheetViews>
    <sheetView topLeftCell="B1" zoomScale="127" zoomScaleNormal="140" workbookViewId="0">
      <pane ySplit="4" topLeftCell="A16" activePane="bottomLeft" state="frozen"/>
      <selection activeCell="M34" sqref="M34"/>
      <selection pane="bottomLeft" activeCell="M34" sqref="M34"/>
    </sheetView>
  </sheetViews>
  <sheetFormatPr defaultColWidth="9.296875" defaultRowHeight="12.9"/>
  <cols>
    <col min="1" max="1" width="14.796875" style="44" customWidth="1"/>
    <col min="2" max="3" width="9.69921875" style="44" bestFit="1" customWidth="1"/>
    <col min="4" max="8" width="9.69921875" style="44" customWidth="1"/>
    <col min="9" max="13" width="9.69921875" style="44" bestFit="1" customWidth="1"/>
    <col min="14" max="14" width="11" style="44" bestFit="1" customWidth="1"/>
    <col min="15" max="19" width="9.69921875" style="44" bestFit="1" customWidth="1"/>
    <col min="20" max="23" width="11.69921875" style="44" bestFit="1" customWidth="1"/>
    <col min="24" max="24" width="11.5" style="44" bestFit="1" customWidth="1"/>
    <col min="25" max="27" width="12.796875" style="44" bestFit="1" customWidth="1"/>
    <col min="28" max="28" width="11.69921875" style="44" bestFit="1" customWidth="1"/>
    <col min="29" max="29" width="13" style="44" bestFit="1" customWidth="1"/>
    <col min="30" max="30" width="12.69921875" style="44" customWidth="1"/>
    <col min="31" max="31" width="9.296875" style="44"/>
    <col min="32" max="32" width="12" style="44" customWidth="1"/>
    <col min="33" max="42" width="9.69921875" style="44" bestFit="1" customWidth="1"/>
    <col min="43" max="43" width="9.69921875" style="44" customWidth="1"/>
    <col min="44" max="45" width="9.69921875" style="44" bestFit="1" customWidth="1"/>
    <col min="46" max="46" width="11.69921875" style="44" bestFit="1" customWidth="1"/>
    <col min="47" max="47" width="10" style="44" bestFit="1" customWidth="1"/>
    <col min="48" max="49" width="12.19921875" style="44" bestFit="1" customWidth="1"/>
    <col min="50" max="50" width="10" style="44" bestFit="1" customWidth="1"/>
    <col min="51" max="55" width="11.69921875" style="44" bestFit="1" customWidth="1"/>
    <col min="56" max="56" width="10" style="44" bestFit="1" customWidth="1"/>
    <col min="57" max="57" width="12.796875" style="44" bestFit="1" customWidth="1"/>
    <col min="58" max="58" width="14.19921875" style="44" bestFit="1" customWidth="1"/>
    <col min="59" max="59" width="12.5" style="44" customWidth="1"/>
    <col min="60" max="60" width="9.296875" style="44"/>
    <col min="61" max="61" width="15.19921875" style="44" bestFit="1" customWidth="1"/>
    <col min="62" max="62" width="15.796875" style="44" bestFit="1" customWidth="1"/>
    <col min="63" max="63" width="20.5" style="44" bestFit="1" customWidth="1"/>
    <col min="64" max="64" width="13" style="44" bestFit="1" customWidth="1"/>
    <col min="65" max="16384" width="9.296875" style="44"/>
  </cols>
  <sheetData>
    <row r="1" spans="1:64">
      <c r="B1" s="175" t="s">
        <v>276</v>
      </c>
      <c r="C1" s="174"/>
      <c r="D1" s="174"/>
      <c r="E1" s="174"/>
      <c r="F1" s="174"/>
      <c r="G1" s="174"/>
      <c r="H1" s="174"/>
      <c r="I1" s="245"/>
    </row>
    <row r="2" spans="1:64" ht="15.9">
      <c r="B2" s="58"/>
      <c r="C2" s="255"/>
      <c r="D2" s="264" t="s">
        <v>243</v>
      </c>
      <c r="E2" s="96"/>
      <c r="F2" s="96"/>
      <c r="G2" s="96"/>
      <c r="H2" s="96"/>
      <c r="I2" s="571" t="s">
        <v>160</v>
      </c>
      <c r="J2" s="126"/>
      <c r="K2" s="126"/>
      <c r="L2" s="126"/>
      <c r="M2" s="127"/>
      <c r="N2" s="572"/>
      <c r="O2" s="126"/>
      <c r="P2" s="126"/>
      <c r="Q2" s="126"/>
      <c r="R2" s="126"/>
      <c r="S2" s="126"/>
      <c r="T2" s="576" t="s">
        <v>159</v>
      </c>
      <c r="U2" s="126"/>
      <c r="V2" s="126"/>
      <c r="W2" s="126"/>
      <c r="X2" s="126"/>
      <c r="Y2" s="126"/>
      <c r="Z2" s="126"/>
      <c r="AA2" s="126"/>
      <c r="AB2" s="126"/>
      <c r="AC2" s="126"/>
      <c r="AD2" s="127"/>
      <c r="AF2" s="125" t="s">
        <v>163</v>
      </c>
      <c r="AG2" s="126"/>
      <c r="AH2" s="126"/>
      <c r="AI2" s="126"/>
      <c r="AJ2" s="126"/>
      <c r="AK2" s="126"/>
      <c r="AL2" s="126"/>
      <c r="AM2" s="126"/>
      <c r="AN2" s="126"/>
      <c r="AO2" s="126"/>
      <c r="AP2" s="127"/>
      <c r="AQ2" s="268"/>
      <c r="AR2" s="125" t="s">
        <v>164</v>
      </c>
      <c r="AS2" s="126"/>
      <c r="AT2" s="126"/>
      <c r="AU2" s="126"/>
      <c r="AV2" s="126"/>
      <c r="AW2" s="126"/>
      <c r="AX2" s="126"/>
      <c r="AY2" s="126"/>
      <c r="AZ2" s="126"/>
      <c r="BA2" s="126"/>
      <c r="BB2" s="126"/>
      <c r="BC2" s="126"/>
      <c r="BD2" s="126"/>
      <c r="BE2" s="126"/>
      <c r="BF2" s="126"/>
      <c r="BG2" s="127"/>
      <c r="BI2" s="140" t="s">
        <v>164</v>
      </c>
      <c r="BJ2" s="140"/>
      <c r="BK2" s="140"/>
      <c r="BL2" s="140"/>
    </row>
    <row r="3" spans="1:64">
      <c r="D3" s="124"/>
      <c r="E3" s="144"/>
      <c r="F3" s="144"/>
      <c r="G3" s="144"/>
      <c r="H3" s="108"/>
      <c r="I3" s="252" t="s">
        <v>29</v>
      </c>
      <c r="J3" s="253"/>
      <c r="K3" s="253"/>
      <c r="L3" s="253"/>
      <c r="M3" s="254"/>
      <c r="N3" s="252" t="s">
        <v>20</v>
      </c>
      <c r="O3" s="253"/>
      <c r="P3" s="253"/>
      <c r="Q3" s="253"/>
      <c r="R3" s="253"/>
      <c r="S3" s="253"/>
      <c r="T3" s="577" t="s">
        <v>29</v>
      </c>
      <c r="U3" s="253"/>
      <c r="V3" s="253"/>
      <c r="W3" s="253"/>
      <c r="X3" s="254"/>
      <c r="Y3" s="252" t="s">
        <v>20</v>
      </c>
      <c r="Z3" s="253"/>
      <c r="AA3" s="253"/>
      <c r="AB3" s="253"/>
      <c r="AC3" s="253"/>
      <c r="AD3" s="254"/>
      <c r="AF3" s="130" t="s">
        <v>172</v>
      </c>
      <c r="AG3" s="136">
        <v>2</v>
      </c>
      <c r="AH3" s="137">
        <v>3</v>
      </c>
      <c r="AI3" s="137">
        <v>4</v>
      </c>
      <c r="AJ3" s="137">
        <v>5</v>
      </c>
      <c r="AK3" s="138">
        <v>6</v>
      </c>
      <c r="AL3" s="131">
        <v>7</v>
      </c>
      <c r="AM3" s="131">
        <v>8</v>
      </c>
      <c r="AN3" s="131">
        <v>9</v>
      </c>
      <c r="AO3" s="131">
        <v>10</v>
      </c>
      <c r="AP3" s="132">
        <v>11</v>
      </c>
      <c r="AQ3" s="131"/>
      <c r="AR3" s="139"/>
      <c r="AS3" s="138"/>
      <c r="AT3" s="137">
        <v>2</v>
      </c>
      <c r="AU3" s="137">
        <v>3</v>
      </c>
      <c r="AV3" s="137">
        <v>4</v>
      </c>
      <c r="AW3" s="137">
        <v>5</v>
      </c>
      <c r="AX3" s="138">
        <v>6</v>
      </c>
      <c r="AY3" s="137">
        <v>7</v>
      </c>
      <c r="AZ3" s="137">
        <v>8</v>
      </c>
      <c r="BA3" s="137">
        <v>9</v>
      </c>
      <c r="BB3" s="137">
        <v>10</v>
      </c>
      <c r="BC3" s="137">
        <v>11</v>
      </c>
      <c r="BD3" s="138"/>
      <c r="BE3" s="131"/>
      <c r="BF3" s="131"/>
      <c r="BG3" s="132"/>
    </row>
    <row r="4" spans="1:64">
      <c r="B4" s="59" t="s">
        <v>71</v>
      </c>
      <c r="C4" s="124" t="s">
        <v>72</v>
      </c>
      <c r="D4" s="261" t="s">
        <v>7</v>
      </c>
      <c r="E4" s="262" t="s">
        <v>241</v>
      </c>
      <c r="F4" s="262" t="s">
        <v>9</v>
      </c>
      <c r="G4" s="262" t="s">
        <v>10</v>
      </c>
      <c r="H4" s="263" t="s">
        <v>242</v>
      </c>
      <c r="I4" s="128" t="s">
        <v>13</v>
      </c>
      <c r="J4" s="246" t="s">
        <v>8</v>
      </c>
      <c r="K4" s="246" t="s">
        <v>14</v>
      </c>
      <c r="L4" s="246" t="s">
        <v>15</v>
      </c>
      <c r="M4" s="129" t="s">
        <v>16</v>
      </c>
      <c r="N4" s="133" t="s">
        <v>13</v>
      </c>
      <c r="O4" s="134" t="s">
        <v>8</v>
      </c>
      <c r="P4" s="134" t="s">
        <v>14</v>
      </c>
      <c r="Q4" s="134" t="s">
        <v>15</v>
      </c>
      <c r="R4" s="135" t="s">
        <v>16</v>
      </c>
      <c r="S4" s="134" t="s">
        <v>165</v>
      </c>
      <c r="T4" s="578" t="s">
        <v>13</v>
      </c>
      <c r="U4" s="246" t="s">
        <v>8</v>
      </c>
      <c r="V4" s="246" t="s">
        <v>14</v>
      </c>
      <c r="W4" s="246" t="s">
        <v>15</v>
      </c>
      <c r="X4" s="129" t="s">
        <v>16</v>
      </c>
      <c r="Y4" s="128" t="s">
        <v>13</v>
      </c>
      <c r="Z4" s="246" t="s">
        <v>8</v>
      </c>
      <c r="AA4" s="246" t="s">
        <v>14</v>
      </c>
      <c r="AB4" s="246" t="s">
        <v>15</v>
      </c>
      <c r="AC4" s="129" t="s">
        <v>16</v>
      </c>
      <c r="AD4" s="129" t="s">
        <v>165</v>
      </c>
      <c r="AF4" s="133" t="s">
        <v>173</v>
      </c>
      <c r="AG4" s="133" t="s">
        <v>13</v>
      </c>
      <c r="AH4" s="134" t="s">
        <v>8</v>
      </c>
      <c r="AI4" s="134" t="s">
        <v>14</v>
      </c>
      <c r="AJ4" s="134" t="s">
        <v>15</v>
      </c>
      <c r="AK4" s="135" t="s">
        <v>16</v>
      </c>
      <c r="AL4" s="134" t="s">
        <v>13</v>
      </c>
      <c r="AM4" s="134" t="s">
        <v>8</v>
      </c>
      <c r="AN4" s="134" t="s">
        <v>14</v>
      </c>
      <c r="AO4" s="134" t="s">
        <v>15</v>
      </c>
      <c r="AP4" s="135" t="s">
        <v>16</v>
      </c>
      <c r="AQ4" s="131"/>
      <c r="AR4" s="88" t="s">
        <v>71</v>
      </c>
      <c r="AS4" s="135" t="s">
        <v>72</v>
      </c>
      <c r="AT4" s="134" t="s">
        <v>13</v>
      </c>
      <c r="AU4" s="134" t="s">
        <v>8</v>
      </c>
      <c r="AV4" s="134" t="s">
        <v>14</v>
      </c>
      <c r="AW4" s="134" t="s">
        <v>15</v>
      </c>
      <c r="AX4" s="135" t="s">
        <v>16</v>
      </c>
      <c r="AY4" s="134" t="s">
        <v>13</v>
      </c>
      <c r="AZ4" s="134" t="s">
        <v>8</v>
      </c>
      <c r="BA4" s="134" t="s">
        <v>14</v>
      </c>
      <c r="BB4" s="134" t="s">
        <v>15</v>
      </c>
      <c r="BC4" s="134" t="s">
        <v>16</v>
      </c>
      <c r="BD4" s="135" t="s">
        <v>165</v>
      </c>
      <c r="BE4" s="134" t="s">
        <v>18</v>
      </c>
      <c r="BF4" s="134" t="s">
        <v>19</v>
      </c>
      <c r="BG4" s="135" t="s">
        <v>165</v>
      </c>
      <c r="BI4" s="90" t="s">
        <v>161</v>
      </c>
      <c r="BJ4" t="s">
        <v>166</v>
      </c>
      <c r="BK4" t="s">
        <v>167</v>
      </c>
      <c r="BL4" t="s">
        <v>168</v>
      </c>
    </row>
    <row r="5" spans="1:64" ht="14.6">
      <c r="A5" s="44" t="str">
        <f>+B5&amp;C5</f>
        <v>6843F2015</v>
      </c>
      <c r="B5" s="44" t="str">
        <f>Data_Loss!X2</f>
        <v>6843F</v>
      </c>
      <c r="C5" s="289">
        <f>Data_Loss!E2</f>
        <v>2015</v>
      </c>
      <c r="D5" s="150">
        <f>+IFERROR(VLOOKUP($A5,Data_Loss!$A$2:$V$100,6,FALSE),0)</f>
        <v>0</v>
      </c>
      <c r="E5" s="150">
        <f>+IFERROR(VLOOKUP($A5,Data_Loss!$A$2:$V$100,7,FALSE),0)</f>
        <v>0</v>
      </c>
      <c r="F5" s="150">
        <f>+IFERROR(VLOOKUP($A5,Data_Loss!$A$2:$V$100,8,FALSE),0)</f>
        <v>1</v>
      </c>
      <c r="G5" s="150">
        <f>+IFERROR(VLOOKUP($A5,Data_Loss!$A$2:$V$100,9,FALSE),0)</f>
        <v>0</v>
      </c>
      <c r="H5" s="150">
        <f>+IFERROR(VLOOKUP($A5,Data_Loss!$A$2:$V$100,10,FALSE),0)</f>
        <v>15</v>
      </c>
      <c r="I5" s="150">
        <f>+IFERROR(VLOOKUP($A5,Data_Loss!$A$2:$V$100,12,FALSE),0)</f>
        <v>0</v>
      </c>
      <c r="J5" s="150">
        <f>+IFERROR(VLOOKUP($A5,Data_Loss!$A$2:$V$100,13,FALSE),0)</f>
        <v>0</v>
      </c>
      <c r="K5" s="150">
        <f>+IFERROR(VLOOKUP($A5,Data_Loss!$A$2:$V$100,14,FALSE),0)</f>
        <v>326313</v>
      </c>
      <c r="L5" s="150">
        <f>+IFERROR(VLOOKUP($A5,Data_Loss!$A$2:$V$100,15,FALSE),0)</f>
        <v>0</v>
      </c>
      <c r="M5" s="150">
        <f>+IFERROR(VLOOKUP($A5,Data_Loss!$A$2:$V$100,16,FALSE),0)</f>
        <v>131203</v>
      </c>
      <c r="N5" s="150">
        <f>+IFERROR(VLOOKUP($A5,Data_Loss!$A$2:$V$100,17,FALSE),0)</f>
        <v>0</v>
      </c>
      <c r="O5" s="150">
        <f>+IFERROR(VLOOKUP($A5,Data_Loss!$A$2:$V$100,18,FALSE),0)</f>
        <v>0</v>
      </c>
      <c r="P5" s="150">
        <f>+IFERROR(VLOOKUP($A5,Data_Loss!$A$2:$V$100,19,FALSE),0)</f>
        <v>185841</v>
      </c>
      <c r="Q5" s="150">
        <f>+IFERROR(VLOOKUP($A5,Data_Loss!$A$2:$V$100,20,FALSE),0)</f>
        <v>0</v>
      </c>
      <c r="R5" s="150">
        <f>+IFERROR(VLOOKUP($A5,Data_Loss!$A$2:$V$100,21,FALSE),0)</f>
        <v>86334</v>
      </c>
      <c r="S5" s="150">
        <f>+IFERROR(VLOOKUP($A5,Data_Loss!$A$2:$V$100,22,FALSE),0)</f>
        <v>5494</v>
      </c>
      <c r="T5" s="579" cm="1">
        <f t="array" ref="T5">MMULT($I5:$M5,_xlfn._xlws.FILTER('10k &amp; MO'!C$3:C$31,'10k &amp; MO'!$B$3:$B$31=$C5,"0"))</f>
        <v>0</v>
      </c>
      <c r="U5" s="247" cm="1">
        <f t="array" ref="U5">MMULT($I5:$M5,_xlfn._xlws.FILTER('10k &amp; MO'!D$3:D$31,'10k &amp; MO'!$B$3:$B$31=$C5,"0"))</f>
        <v>0</v>
      </c>
      <c r="V5" s="247" cm="1">
        <f t="array" ref="V5">MMULT($I5:$M5,_xlfn._xlws.FILTER('10k &amp; MO'!E$3:E$31,'10k &amp; MO'!$B$3:$B$31=$C5,"0"))</f>
        <v>573005.62800000003</v>
      </c>
      <c r="W5" s="247" cm="1">
        <f t="array" ref="W5">MMULT($I5:$M5,_xlfn._xlws.FILTER('10k &amp; MO'!F$3:F$31,'10k &amp; MO'!$B$3:$B$31=$C5,"0"))</f>
        <v>0</v>
      </c>
      <c r="X5" s="247" cm="1">
        <f t="array" ref="X5">MMULT($I5:$M5,_xlfn._xlws.FILTER('10k &amp; MO'!G$3:G$31,'10k &amp; MO'!$B$3:$B$31=$C5,"0"))</f>
        <v>230392.46799999999</v>
      </c>
      <c r="Y5" s="575" cm="1">
        <f t="array" ref="Y5">MMULT($N5:$R5,_xlfn._xlws.FILTER('10k &amp; MO'!H$3:H$31,'10k &amp; MO'!$B$3:$B$31=$C5,"0"))</f>
        <v>0</v>
      </c>
      <c r="Z5" s="573" cm="1">
        <f t="array" ref="Z5">MMULT($N5:$R5,_xlfn._xlws.FILTER('10k &amp; MO'!I$3:I$31,'10k &amp; MO'!$B$3:$B$31=$C5,"0"))</f>
        <v>0</v>
      </c>
      <c r="AA5" s="573" cm="1">
        <f t="array" ref="AA5">MMULT($N5:$R5,_xlfn._xlws.FILTER('10k &amp; MO'!J$3:J$31,'10k &amp; MO'!$B$3:$B$31=$C5,"0"))</f>
        <v>310540.31099999999</v>
      </c>
      <c r="AB5" s="573" cm="1">
        <f t="array" ref="AB5">MMULT($N5:$R5,_xlfn._xlws.FILTER('10k &amp; MO'!K$3:K$31,'10k &amp; MO'!$B$3:$B$31=$C5,"0"))</f>
        <v>0</v>
      </c>
      <c r="AC5" s="574" cm="1">
        <f t="array" ref="AC5">MMULT($N5:$R5,_xlfn._xlws.FILTER('10k &amp; MO'!L$3:L$31,'10k &amp; MO'!$B$3:$B$31=$C5,"0"))</f>
        <v>144264.114</v>
      </c>
      <c r="AD5" s="248">
        <f>S5*_xlfn.XLOOKUP(C5,'10k &amp; MO'!$N$3:$N$7,'10k &amp; MO'!$O$3:$O$7)</f>
        <v>6334.5820000000003</v>
      </c>
      <c r="AF5" s="149" t="str">
        <f t="shared" ref="AF5:AF13" si="0">+B5&amp;C5</f>
        <v>6843F2015</v>
      </c>
      <c r="AG5" s="149">
        <f>+IFERROR(VLOOKUP($AF5,'Limited Loss'!$F$5:$P$24,AG$3,FALSE),0)</f>
        <v>0</v>
      </c>
      <c r="AH5" s="150">
        <f>+IFERROR(VLOOKUP($AF5,'Limited Loss'!$F$5:$P$24,AH$3,FALSE),0)</f>
        <v>0</v>
      </c>
      <c r="AI5" s="150">
        <f>+IFERROR(VLOOKUP($AF5,'Limited Loss'!$F$5:$P$24,AI$3,FALSE),0)</f>
        <v>0</v>
      </c>
      <c r="AJ5" s="150">
        <f>+IFERROR(VLOOKUP($AF5,'Limited Loss'!$F$5:$P$24,AJ$3,FALSE),0)</f>
        <v>0</v>
      </c>
      <c r="AK5" s="86">
        <f>+IFERROR(VLOOKUP($AF5,'Limited Loss'!$F$5:$P$24,AK$3,FALSE),0)</f>
        <v>0</v>
      </c>
      <c r="AL5" s="150">
        <f>+IFERROR(VLOOKUP($AF5,'Limited Loss'!$F$5:$P$24,AL$3,FALSE),0)</f>
        <v>0</v>
      </c>
      <c r="AM5" s="150">
        <f>+IFERROR(VLOOKUP($AF5,'Limited Loss'!$F$5:$P$24,AM$3,FALSE),0)</f>
        <v>0</v>
      </c>
      <c r="AN5" s="150">
        <f>+IFERROR(VLOOKUP($AF5,'Limited Loss'!$F$5:$P$24,AN$3,FALSE),0)</f>
        <v>0</v>
      </c>
      <c r="AO5" s="150">
        <f>+IFERROR(VLOOKUP($AF5,'Limited Loss'!$F$5:$P$24,AO$3,FALSE),0)</f>
        <v>0</v>
      </c>
      <c r="AP5" s="86">
        <f>+IFERROR(VLOOKUP($AF5,'Limited Loss'!$F$5:$P$24,AP$3,FALSE),0)</f>
        <v>0</v>
      </c>
      <c r="AQ5" s="150"/>
      <c r="AR5" s="59" t="str">
        <f t="shared" ref="AR5:AS13" si="1">+B5</f>
        <v>6843F</v>
      </c>
      <c r="AS5" s="188">
        <f t="shared" si="1"/>
        <v>2015</v>
      </c>
      <c r="AT5" s="247">
        <f t="shared" ref="AT5:BD13" si="2">+T5-AG5</f>
        <v>0</v>
      </c>
      <c r="AU5" s="247">
        <f t="shared" si="2"/>
        <v>0</v>
      </c>
      <c r="AV5" s="247">
        <f t="shared" si="2"/>
        <v>573005.62800000003</v>
      </c>
      <c r="AW5" s="247">
        <f t="shared" si="2"/>
        <v>0</v>
      </c>
      <c r="AX5" s="248">
        <f t="shared" si="2"/>
        <v>230392.46799999999</v>
      </c>
      <c r="AY5" s="247">
        <f t="shared" si="2"/>
        <v>0</v>
      </c>
      <c r="AZ5" s="247">
        <f t="shared" si="2"/>
        <v>0</v>
      </c>
      <c r="BA5" s="247">
        <f t="shared" si="2"/>
        <v>310540.31099999999</v>
      </c>
      <c r="BB5" s="247">
        <f t="shared" si="2"/>
        <v>0</v>
      </c>
      <c r="BC5" s="247">
        <f t="shared" si="2"/>
        <v>144264.114</v>
      </c>
      <c r="BD5" s="248">
        <f t="shared" si="2"/>
        <v>6334.5820000000003</v>
      </c>
      <c r="BE5" s="247">
        <f>+AT5+AU5+AV5+AY5+AZ5+BA5</f>
        <v>883545.93900000001</v>
      </c>
      <c r="BF5" s="150">
        <f>+AW5+AX5+BB5+BC5</f>
        <v>374656.58199999999</v>
      </c>
      <c r="BG5" s="86">
        <f>+BD5</f>
        <v>6334.5820000000003</v>
      </c>
      <c r="BI5" s="91" t="s">
        <v>485</v>
      </c>
      <c r="BJ5" s="92">
        <v>0</v>
      </c>
      <c r="BK5" s="92">
        <v>60188.405400000003</v>
      </c>
      <c r="BL5" s="92">
        <v>0</v>
      </c>
    </row>
    <row r="6" spans="1:64" ht="14.6">
      <c r="A6" s="44" t="str">
        <f t="shared" ref="A6:A13" si="3">+B6&amp;C6</f>
        <v>7309F2015</v>
      </c>
      <c r="B6" s="44" t="str">
        <f>Data_Loss!X3</f>
        <v>7309F</v>
      </c>
      <c r="C6" s="289">
        <f>Data_Loss!E3</f>
        <v>2015</v>
      </c>
      <c r="D6" s="150">
        <f>+IFERROR(VLOOKUP($A6,Data_Loss!$A$2:$V$100,6,FALSE),0)</f>
        <v>0</v>
      </c>
      <c r="E6" s="150">
        <f>+IFERROR(VLOOKUP($A6,Data_Loss!$A$2:$V$100,7,FALSE),0)</f>
        <v>0</v>
      </c>
      <c r="F6" s="150">
        <f>+IFERROR(VLOOKUP($A6,Data_Loss!$A$2:$V$100,8,FALSE),0)</f>
        <v>3</v>
      </c>
      <c r="G6" s="150">
        <f>+IFERROR(VLOOKUP($A6,Data_Loss!$A$2:$V$100,9,FALSE),0)</f>
        <v>4</v>
      </c>
      <c r="H6" s="150">
        <f>+IFERROR(VLOOKUP($A6,Data_Loss!$A$2:$V$100,10,FALSE),0)</f>
        <v>6</v>
      </c>
      <c r="I6" s="150">
        <f>+IFERROR(VLOOKUP($A6,Data_Loss!$A$2:$V$100,12,FALSE),0)</f>
        <v>0</v>
      </c>
      <c r="J6" s="150">
        <f>+IFERROR(VLOOKUP($A6,Data_Loss!$A$2:$V$100,13,FALSE),0)</f>
        <v>0</v>
      </c>
      <c r="K6" s="150">
        <f>+IFERROR(VLOOKUP($A6,Data_Loss!$A$2:$V$100,14,FALSE),0)</f>
        <v>1139418</v>
      </c>
      <c r="L6" s="150">
        <f>+IFERROR(VLOOKUP($A6,Data_Loss!$A$2:$V$100,15,FALSE),0)</f>
        <v>207190</v>
      </c>
      <c r="M6" s="150">
        <f>+IFERROR(VLOOKUP($A6,Data_Loss!$A$2:$V$100,16,FALSE),0)</f>
        <v>57978</v>
      </c>
      <c r="N6" s="150">
        <f>+IFERROR(VLOOKUP($A6,Data_Loss!$A$2:$V$100,17,FALSE),0)</f>
        <v>0</v>
      </c>
      <c r="O6" s="150">
        <f>+IFERROR(VLOOKUP($A6,Data_Loss!$A$2:$V$100,18,FALSE),0)</f>
        <v>0</v>
      </c>
      <c r="P6" s="150">
        <f>+IFERROR(VLOOKUP($A6,Data_Loss!$A$2:$V$100,19,FALSE),0)</f>
        <v>411772</v>
      </c>
      <c r="Q6" s="150">
        <f>+IFERROR(VLOOKUP($A6,Data_Loss!$A$2:$V$100,20,FALSE),0)</f>
        <v>111755</v>
      </c>
      <c r="R6" s="150">
        <f>+IFERROR(VLOOKUP($A6,Data_Loss!$A$2:$V$100,21,FALSE),0)</f>
        <v>87122</v>
      </c>
      <c r="S6" s="150">
        <f>+IFERROR(VLOOKUP($A6,Data_Loss!$A$2:$V$100,22,FALSE),0)</f>
        <v>9818</v>
      </c>
      <c r="T6" s="580" cm="1">
        <f t="array" ref="T6">MMULT($I6:$M6,_xlfn._xlws.FILTER('10k &amp; MO'!C$3:C$31,'10k &amp; MO'!$B$3:$B$31=$C6,"0"))</f>
        <v>0</v>
      </c>
      <c r="U6" s="247" cm="1">
        <f t="array" ref="U6">MMULT($I6:$M6,_xlfn._xlws.FILTER('10k &amp; MO'!D$3:D$31,'10k &amp; MO'!$B$3:$B$31=$C6,"0"))</f>
        <v>0</v>
      </c>
      <c r="V6" s="247" cm="1">
        <f t="array" ref="V6">MMULT($I6:$M6,_xlfn._xlws.FILTER('10k &amp; MO'!E$3:E$31,'10k &amp; MO'!$B$3:$B$31=$C6,"0"))</f>
        <v>2000818.0079999999</v>
      </c>
      <c r="W6" s="247" cm="1">
        <f t="array" ref="W6">MMULT($I6:$M6,_xlfn._xlws.FILTER('10k &amp; MO'!F$3:F$31,'10k &amp; MO'!$B$3:$B$31=$C6,"0"))</f>
        <v>363825.64</v>
      </c>
      <c r="X6" s="247" cm="1">
        <f t="array" ref="X6">MMULT($I6:$M6,_xlfn._xlws.FILTER('10k &amp; MO'!G$3:G$31,'10k &amp; MO'!$B$3:$B$31=$C6,"0"))</f>
        <v>101809.368</v>
      </c>
      <c r="Y6" s="148" cm="1">
        <f t="array" ref="Y6">MMULT($N6:$R6,_xlfn._xlws.FILTER('10k &amp; MO'!H$3:H$31,'10k &amp; MO'!$B$3:$B$31=$C6,"0"))</f>
        <v>0</v>
      </c>
      <c r="Z6" s="247" cm="1">
        <f t="array" ref="Z6">MMULT($N6:$R6,_xlfn._xlws.FILTER('10k &amp; MO'!I$3:I$31,'10k &amp; MO'!$B$3:$B$31=$C6,"0"))</f>
        <v>0</v>
      </c>
      <c r="AA6" s="247" cm="1">
        <f t="array" ref="AA6">MMULT($N6:$R6,_xlfn._xlws.FILTER('10k &amp; MO'!J$3:J$31,'10k &amp; MO'!$B$3:$B$31=$C6,"0"))</f>
        <v>688071.01199999999</v>
      </c>
      <c r="AB6" s="247" cm="1">
        <f t="array" ref="AB6">MMULT($N6:$R6,_xlfn._xlws.FILTER('10k &amp; MO'!K$3:K$31,'10k &amp; MO'!$B$3:$B$31=$C6,"0"))</f>
        <v>186742.60500000001</v>
      </c>
      <c r="AC6" s="248" cm="1">
        <f t="array" ref="AC6">MMULT($N6:$R6,_xlfn._xlws.FILTER('10k &amp; MO'!L$3:L$31,'10k &amp; MO'!$B$3:$B$31=$C6,"0"))</f>
        <v>145580.86199999999</v>
      </c>
      <c r="AD6" s="248">
        <f>S6*_xlfn.XLOOKUP(C6,'10k &amp; MO'!$N$3:$N$7,'10k &amp; MO'!$O$3:$O$7)</f>
        <v>11320.154</v>
      </c>
      <c r="AF6" s="149" t="str">
        <f t="shared" si="0"/>
        <v>7309F2015</v>
      </c>
      <c r="AG6" s="149">
        <f>+IFERROR(VLOOKUP($AF6,'Limited Loss'!$F$5:$P$24,AG$3,FALSE),0)</f>
        <v>0</v>
      </c>
      <c r="AH6" s="150">
        <f>+IFERROR(VLOOKUP($AF6,'Limited Loss'!$F$5:$P$24,AH$3,FALSE),0)</f>
        <v>0</v>
      </c>
      <c r="AI6" s="150">
        <f>+IFERROR(VLOOKUP($AF6,'Limited Loss'!$F$5:$P$24,AI$3,FALSE),0)</f>
        <v>0</v>
      </c>
      <c r="AJ6" s="150">
        <f>+IFERROR(VLOOKUP($AF6,'Limited Loss'!$F$5:$P$24,AJ$3,FALSE),0)</f>
        <v>0</v>
      </c>
      <c r="AK6" s="86">
        <f>+IFERROR(VLOOKUP($AF6,'Limited Loss'!$F$5:$P$24,AK$3,FALSE),0)</f>
        <v>0</v>
      </c>
      <c r="AL6" s="150">
        <f>+IFERROR(VLOOKUP($AF6,'Limited Loss'!$F$5:$P$24,AL$3,FALSE),0)</f>
        <v>0</v>
      </c>
      <c r="AM6" s="150">
        <f>+IFERROR(VLOOKUP($AF6,'Limited Loss'!$F$5:$P$24,AM$3,FALSE),0)</f>
        <v>0</v>
      </c>
      <c r="AN6" s="150">
        <f>+IFERROR(VLOOKUP($AF6,'Limited Loss'!$F$5:$P$24,AN$3,FALSE),0)</f>
        <v>0</v>
      </c>
      <c r="AO6" s="150">
        <f>+IFERROR(VLOOKUP($AF6,'Limited Loss'!$F$5:$P$24,AO$3,FALSE),0)</f>
        <v>0</v>
      </c>
      <c r="AP6" s="86">
        <f>+IFERROR(VLOOKUP($AF6,'Limited Loss'!$F$5:$P$24,AP$3,FALSE),0)</f>
        <v>0</v>
      </c>
      <c r="AQ6" s="150"/>
      <c r="AR6" s="59" t="str">
        <f t="shared" si="1"/>
        <v>7309F</v>
      </c>
      <c r="AS6" s="188">
        <f t="shared" si="1"/>
        <v>2015</v>
      </c>
      <c r="AT6" s="247">
        <f t="shared" si="2"/>
        <v>0</v>
      </c>
      <c r="AU6" s="247">
        <f t="shared" si="2"/>
        <v>0</v>
      </c>
      <c r="AV6" s="247">
        <f t="shared" si="2"/>
        <v>2000818.0079999999</v>
      </c>
      <c r="AW6" s="247">
        <f t="shared" si="2"/>
        <v>363825.64</v>
      </c>
      <c r="AX6" s="248">
        <f t="shared" si="2"/>
        <v>101809.368</v>
      </c>
      <c r="AY6" s="247">
        <f t="shared" si="2"/>
        <v>0</v>
      </c>
      <c r="AZ6" s="247">
        <f t="shared" si="2"/>
        <v>0</v>
      </c>
      <c r="BA6" s="247">
        <f t="shared" si="2"/>
        <v>688071.01199999999</v>
      </c>
      <c r="BB6" s="247">
        <f t="shared" si="2"/>
        <v>186742.60500000001</v>
      </c>
      <c r="BC6" s="247">
        <f t="shared" si="2"/>
        <v>145580.86199999999</v>
      </c>
      <c r="BD6" s="248">
        <f t="shared" si="2"/>
        <v>11320.154</v>
      </c>
      <c r="BE6" s="247">
        <f t="shared" ref="BE6:BE13" si="4">+AT6+AU6+AV6+AY6+AZ6+BA6</f>
        <v>2688889.02</v>
      </c>
      <c r="BF6" s="150">
        <f t="shared" ref="BF6:BF13" si="5">+AW6+AX6+BB6+BC6</f>
        <v>797958.47499999998</v>
      </c>
      <c r="BG6" s="86">
        <f t="shared" ref="BG6:BG13" si="6">+BD6</f>
        <v>11320.154</v>
      </c>
      <c r="BI6" s="91" t="s">
        <v>486</v>
      </c>
      <c r="BJ6" s="92">
        <v>0</v>
      </c>
      <c r="BK6" s="92">
        <v>689432.4584</v>
      </c>
      <c r="BL6" s="92">
        <v>0</v>
      </c>
    </row>
    <row r="7" spans="1:64" ht="14.6">
      <c r="A7" s="44" t="str">
        <f t="shared" si="3"/>
        <v>7313F2015</v>
      </c>
      <c r="B7" s="44" t="str">
        <f>Data_Loss!X4</f>
        <v>7313F</v>
      </c>
      <c r="C7" s="289">
        <f>Data_Loss!E4</f>
        <v>2015</v>
      </c>
      <c r="D7" s="150">
        <f>+IFERROR(VLOOKUP($A7,Data_Loss!$A$2:$V$100,6,FALSE),0)</f>
        <v>0</v>
      </c>
      <c r="E7" s="150">
        <f>+IFERROR(VLOOKUP($A7,Data_Loss!$A$2:$V$100,7,FALSE),0)</f>
        <v>0</v>
      </c>
      <c r="F7" s="150">
        <f>+IFERROR(VLOOKUP($A7,Data_Loss!$A$2:$V$100,8,FALSE),0)</f>
        <v>0</v>
      </c>
      <c r="G7" s="150">
        <f>+IFERROR(VLOOKUP($A7,Data_Loss!$A$2:$V$100,9,FALSE),0)</f>
        <v>2</v>
      </c>
      <c r="H7" s="150">
        <f>+IFERROR(VLOOKUP($A7,Data_Loss!$A$2:$V$100,10,FALSE),0)</f>
        <v>2</v>
      </c>
      <c r="I7" s="150">
        <f>+IFERROR(VLOOKUP($A7,Data_Loss!$A$2:$V$100,12,FALSE),0)</f>
        <v>0</v>
      </c>
      <c r="J7" s="150">
        <f>+IFERROR(VLOOKUP($A7,Data_Loss!$A$2:$V$100,13,FALSE),0)</f>
        <v>0</v>
      </c>
      <c r="K7" s="150">
        <f>+IFERROR(VLOOKUP($A7,Data_Loss!$A$2:$V$100,14,FALSE),0)</f>
        <v>0</v>
      </c>
      <c r="L7" s="150">
        <f>+IFERROR(VLOOKUP($A7,Data_Loss!$A$2:$V$100,15,FALSE),0)</f>
        <v>63975</v>
      </c>
      <c r="M7" s="150">
        <f>+IFERROR(VLOOKUP($A7,Data_Loss!$A$2:$V$100,16,FALSE),0)</f>
        <v>4468</v>
      </c>
      <c r="N7" s="150">
        <f>+IFERROR(VLOOKUP($A7,Data_Loss!$A$2:$V$100,17,FALSE),0)</f>
        <v>0</v>
      </c>
      <c r="O7" s="150">
        <f>+IFERROR(VLOOKUP($A7,Data_Loss!$A$2:$V$100,18,FALSE),0)</f>
        <v>0</v>
      </c>
      <c r="P7" s="150">
        <f>+IFERROR(VLOOKUP($A7,Data_Loss!$A$2:$V$100,19,FALSE),0)</f>
        <v>0</v>
      </c>
      <c r="Q7" s="150">
        <f>+IFERROR(VLOOKUP($A7,Data_Loss!$A$2:$V$100,20,FALSE),0)</f>
        <v>42611</v>
      </c>
      <c r="R7" s="150">
        <f>+IFERROR(VLOOKUP($A7,Data_Loss!$A$2:$V$100,21,FALSE),0)</f>
        <v>1501</v>
      </c>
      <c r="S7" s="150">
        <f>+IFERROR(VLOOKUP($A7,Data_Loss!$A$2:$V$100,22,FALSE),0)</f>
        <v>1680</v>
      </c>
      <c r="T7" s="580" cm="1">
        <f t="array" ref="T7">MMULT($I7:$M7,_xlfn._xlws.FILTER('10k &amp; MO'!C$3:C$31,'10k &amp; MO'!$B$3:$B$31=$C7,"0"))</f>
        <v>0</v>
      </c>
      <c r="U7" s="247" cm="1">
        <f t="array" ref="U7">MMULT($I7:$M7,_xlfn._xlws.FILTER('10k &amp; MO'!D$3:D$31,'10k &amp; MO'!$B$3:$B$31=$C7,"0"))</f>
        <v>0</v>
      </c>
      <c r="V7" s="247" cm="1">
        <f t="array" ref="V7">MMULT($I7:$M7,_xlfn._xlws.FILTER('10k &amp; MO'!E$3:E$31,'10k &amp; MO'!$B$3:$B$31=$C7,"0"))</f>
        <v>0</v>
      </c>
      <c r="W7" s="247" cm="1">
        <f t="array" ref="W7">MMULT($I7:$M7,_xlfn._xlws.FILTER('10k &amp; MO'!F$3:F$31,'10k &amp; MO'!$B$3:$B$31=$C7,"0"))</f>
        <v>112340.1</v>
      </c>
      <c r="X7" s="247" cm="1">
        <f t="array" ref="X7">MMULT($I7:$M7,_xlfn._xlws.FILTER('10k &amp; MO'!G$3:G$31,'10k &amp; MO'!$B$3:$B$31=$C7,"0"))</f>
        <v>7845.808</v>
      </c>
      <c r="Y7" s="148" cm="1">
        <f t="array" ref="Y7">MMULT($N7:$R7,_xlfn._xlws.FILTER('10k &amp; MO'!H$3:H$31,'10k &amp; MO'!$B$3:$B$31=$C7,"0"))</f>
        <v>0</v>
      </c>
      <c r="Z7" s="247" cm="1">
        <f t="array" ref="Z7">MMULT($N7:$R7,_xlfn._xlws.FILTER('10k &amp; MO'!I$3:I$31,'10k &amp; MO'!$B$3:$B$31=$C7,"0"))</f>
        <v>0</v>
      </c>
      <c r="AA7" s="247" cm="1">
        <f t="array" ref="AA7">MMULT($N7:$R7,_xlfn._xlws.FILTER('10k &amp; MO'!J$3:J$31,'10k &amp; MO'!$B$3:$B$31=$C7,"0"))</f>
        <v>0</v>
      </c>
      <c r="AB7" s="247" cm="1">
        <f t="array" ref="AB7">MMULT($N7:$R7,_xlfn._xlws.FILTER('10k &amp; MO'!K$3:K$31,'10k &amp; MO'!$B$3:$B$31=$C7,"0"))</f>
        <v>71202.981</v>
      </c>
      <c r="AC7" s="248" cm="1">
        <f t="array" ref="AC7">MMULT($N7:$R7,_xlfn._xlws.FILTER('10k &amp; MO'!L$3:L$31,'10k &amp; MO'!$B$3:$B$31=$C7,"0"))</f>
        <v>2508.1710000000003</v>
      </c>
      <c r="AD7" s="248">
        <f>S7*_xlfn.XLOOKUP(C7,'10k &amp; MO'!$N$3:$N$7,'10k &amp; MO'!$O$3:$O$7)</f>
        <v>1937.04</v>
      </c>
      <c r="AF7" s="149" t="str">
        <f t="shared" si="0"/>
        <v>7313F2015</v>
      </c>
      <c r="AG7" s="149">
        <f>+IFERROR(VLOOKUP($AF7,'Limited Loss'!$F$5:$P$24,AG$3,FALSE),0)</f>
        <v>0</v>
      </c>
      <c r="AH7" s="150">
        <f>+IFERROR(VLOOKUP($AF7,'Limited Loss'!$F$5:$P$24,AH$3,FALSE),0)</f>
        <v>0</v>
      </c>
      <c r="AI7" s="150">
        <f>+IFERROR(VLOOKUP($AF7,'Limited Loss'!$F$5:$P$24,AI$3,FALSE),0)</f>
        <v>0</v>
      </c>
      <c r="AJ7" s="150">
        <f>+IFERROR(VLOOKUP($AF7,'Limited Loss'!$F$5:$P$24,AJ$3,FALSE),0)</f>
        <v>0</v>
      </c>
      <c r="AK7" s="86">
        <f>+IFERROR(VLOOKUP($AF7,'Limited Loss'!$F$5:$P$24,AK$3,FALSE),0)</f>
        <v>0</v>
      </c>
      <c r="AL7" s="150">
        <f>+IFERROR(VLOOKUP($AF7,'Limited Loss'!$F$5:$P$24,AL$3,FALSE),0)</f>
        <v>0</v>
      </c>
      <c r="AM7" s="150">
        <f>+IFERROR(VLOOKUP($AF7,'Limited Loss'!$F$5:$P$24,AM$3,FALSE),0)</f>
        <v>0</v>
      </c>
      <c r="AN7" s="150">
        <f>+IFERROR(VLOOKUP($AF7,'Limited Loss'!$F$5:$P$24,AN$3,FALSE),0)</f>
        <v>0</v>
      </c>
      <c r="AO7" s="150">
        <f>+IFERROR(VLOOKUP($AF7,'Limited Loss'!$F$5:$P$24,AO$3,FALSE),0)</f>
        <v>0</v>
      </c>
      <c r="AP7" s="86">
        <f>+IFERROR(VLOOKUP($AF7,'Limited Loss'!$F$5:$P$24,AP$3,FALSE),0)</f>
        <v>0</v>
      </c>
      <c r="AQ7" s="150"/>
      <c r="AR7" s="59" t="str">
        <f t="shared" si="1"/>
        <v>7313F</v>
      </c>
      <c r="AS7" s="188">
        <f t="shared" si="1"/>
        <v>2015</v>
      </c>
      <c r="AT7" s="247">
        <f t="shared" si="2"/>
        <v>0</v>
      </c>
      <c r="AU7" s="247">
        <f t="shared" si="2"/>
        <v>0</v>
      </c>
      <c r="AV7" s="247">
        <f t="shared" si="2"/>
        <v>0</v>
      </c>
      <c r="AW7" s="247">
        <f t="shared" si="2"/>
        <v>112340.1</v>
      </c>
      <c r="AX7" s="248">
        <f t="shared" si="2"/>
        <v>7845.808</v>
      </c>
      <c r="AY7" s="247">
        <f t="shared" si="2"/>
        <v>0</v>
      </c>
      <c r="AZ7" s="247">
        <f t="shared" si="2"/>
        <v>0</v>
      </c>
      <c r="BA7" s="247">
        <f t="shared" si="2"/>
        <v>0</v>
      </c>
      <c r="BB7" s="247">
        <f t="shared" si="2"/>
        <v>71202.981</v>
      </c>
      <c r="BC7" s="247">
        <f t="shared" si="2"/>
        <v>2508.1710000000003</v>
      </c>
      <c r="BD7" s="248">
        <f>+AD7-AQ7</f>
        <v>1937.04</v>
      </c>
      <c r="BE7" s="247">
        <f t="shared" si="4"/>
        <v>0</v>
      </c>
      <c r="BF7" s="150">
        <f t="shared" si="5"/>
        <v>193897.06000000003</v>
      </c>
      <c r="BG7" s="86">
        <f t="shared" si="6"/>
        <v>1937.04</v>
      </c>
      <c r="BI7" s="91" t="s">
        <v>487</v>
      </c>
      <c r="BJ7" s="92">
        <v>2818293.4425999997</v>
      </c>
      <c r="BK7" s="92">
        <v>1283609.4351000001</v>
      </c>
      <c r="BL7" s="92">
        <v>23864.794000000002</v>
      </c>
    </row>
    <row r="8" spans="1:64" ht="14.6">
      <c r="A8" s="44" t="str">
        <f t="shared" si="3"/>
        <v>7317F2015</v>
      </c>
      <c r="B8" s="44" t="str">
        <f>Data_Loss!X5</f>
        <v>7317F</v>
      </c>
      <c r="C8" s="289">
        <f>Data_Loss!E5</f>
        <v>2015</v>
      </c>
      <c r="D8" s="150">
        <f>+IFERROR(VLOOKUP($A8,Data_Loss!$A$2:$V$100,6,FALSE),0)</f>
        <v>0</v>
      </c>
      <c r="E8" s="150">
        <f>+IFERROR(VLOOKUP($A8,Data_Loss!$A$2:$V$100,7,FALSE),0)</f>
        <v>0</v>
      </c>
      <c r="F8" s="150">
        <f>+IFERROR(VLOOKUP($A8,Data_Loss!$A$2:$V$100,8,FALSE),0)</f>
        <v>0</v>
      </c>
      <c r="G8" s="150">
        <f>+IFERROR(VLOOKUP($A8,Data_Loss!$A$2:$V$100,9,FALSE),0)</f>
        <v>0</v>
      </c>
      <c r="H8" s="150">
        <f>+IFERROR(VLOOKUP($A8,Data_Loss!$A$2:$V$100,10,FALSE),0)</f>
        <v>0</v>
      </c>
      <c r="I8" s="150">
        <f>+IFERROR(VLOOKUP($A8,Data_Loss!$A$2:$V$100,12,FALSE),0)</f>
        <v>0</v>
      </c>
      <c r="J8" s="150">
        <f>+IFERROR(VLOOKUP($A8,Data_Loss!$A$2:$V$100,13,FALSE),0)</f>
        <v>0</v>
      </c>
      <c r="K8" s="150">
        <f>+IFERROR(VLOOKUP($A8,Data_Loss!$A$2:$V$100,14,FALSE),0)</f>
        <v>0</v>
      </c>
      <c r="L8" s="150">
        <f>+IFERROR(VLOOKUP($A8,Data_Loss!$A$2:$V$100,15,FALSE),0)</f>
        <v>0</v>
      </c>
      <c r="M8" s="150">
        <f>+IFERROR(VLOOKUP($A8,Data_Loss!$A$2:$V$100,16,FALSE),0)</f>
        <v>0</v>
      </c>
      <c r="N8" s="150">
        <f>+IFERROR(VLOOKUP($A8,Data_Loss!$A$2:$V$100,17,FALSE),0)</f>
        <v>0</v>
      </c>
      <c r="O8" s="150">
        <f>+IFERROR(VLOOKUP($A8,Data_Loss!$A$2:$V$100,18,FALSE),0)</f>
        <v>0</v>
      </c>
      <c r="P8" s="150">
        <f>+IFERROR(VLOOKUP($A8,Data_Loss!$A$2:$V$100,19,FALSE),0)</f>
        <v>0</v>
      </c>
      <c r="Q8" s="150">
        <f>+IFERROR(VLOOKUP($A8,Data_Loss!$A$2:$V$100,20,FALSE),0)</f>
        <v>0</v>
      </c>
      <c r="R8" s="150">
        <f>+IFERROR(VLOOKUP($A8,Data_Loss!$A$2:$V$100,21,FALSE),0)</f>
        <v>0</v>
      </c>
      <c r="S8" s="150">
        <f>+IFERROR(VLOOKUP($A8,Data_Loss!$A$2:$V$100,22,FALSE),0)</f>
        <v>73</v>
      </c>
      <c r="T8" s="580" cm="1">
        <f t="array" ref="T8">MMULT($I8:$M8,_xlfn._xlws.FILTER('10k &amp; MO'!C$3:C$31,'10k &amp; MO'!$B$3:$B$31=$C8,"0"))</f>
        <v>0</v>
      </c>
      <c r="U8" s="247" cm="1">
        <f t="array" ref="U8">MMULT($I8:$M8,_xlfn._xlws.FILTER('10k &amp; MO'!D$3:D$31,'10k &amp; MO'!$B$3:$B$31=$C8,"0"))</f>
        <v>0</v>
      </c>
      <c r="V8" s="247" cm="1">
        <f t="array" ref="V8">MMULT($I8:$M8,_xlfn._xlws.FILTER('10k &amp; MO'!E$3:E$31,'10k &amp; MO'!$B$3:$B$31=$C8,"0"))</f>
        <v>0</v>
      </c>
      <c r="W8" s="247" cm="1">
        <f t="array" ref="W8">MMULT($I8:$M8,_xlfn._xlws.FILTER('10k &amp; MO'!F$3:F$31,'10k &amp; MO'!$B$3:$B$31=$C8,"0"))</f>
        <v>0</v>
      </c>
      <c r="X8" s="247" cm="1">
        <f t="array" ref="X8">MMULT($I8:$M8,_xlfn._xlws.FILTER('10k &amp; MO'!G$3:G$31,'10k &amp; MO'!$B$3:$B$31=$C8,"0"))</f>
        <v>0</v>
      </c>
      <c r="Y8" s="148" cm="1">
        <f t="array" ref="Y8">MMULT($N8:$R8,_xlfn._xlws.FILTER('10k &amp; MO'!H$3:H$31,'10k &amp; MO'!$B$3:$B$31=$C8,"0"))</f>
        <v>0</v>
      </c>
      <c r="Z8" s="247" cm="1">
        <f t="array" ref="Z8">MMULT($N8:$R8,_xlfn._xlws.FILTER('10k &amp; MO'!I$3:I$31,'10k &amp; MO'!$B$3:$B$31=$C8,"0"))</f>
        <v>0</v>
      </c>
      <c r="AA8" s="247" cm="1">
        <f t="array" ref="AA8">MMULT($N8:$R8,_xlfn._xlws.FILTER('10k &amp; MO'!J$3:J$31,'10k &amp; MO'!$B$3:$B$31=$C8,"0"))</f>
        <v>0</v>
      </c>
      <c r="AB8" s="247" cm="1">
        <f t="array" ref="AB8">MMULT($N8:$R8,_xlfn._xlws.FILTER('10k &amp; MO'!K$3:K$31,'10k &amp; MO'!$B$3:$B$31=$C8,"0"))</f>
        <v>0</v>
      </c>
      <c r="AC8" s="248" cm="1">
        <f t="array" ref="AC8">MMULT($N8:$R8,_xlfn._xlws.FILTER('10k &amp; MO'!L$3:L$31,'10k &amp; MO'!$B$3:$B$31=$C8,"0"))</f>
        <v>0</v>
      </c>
      <c r="AD8" s="248">
        <f>S8*_xlfn.XLOOKUP(C8,'10k &amp; MO'!$N$3:$N$7,'10k &amp; MO'!$O$3:$O$7)</f>
        <v>84.168999999999997</v>
      </c>
      <c r="AF8" s="149" t="str">
        <f t="shared" si="0"/>
        <v>7317F2015</v>
      </c>
      <c r="AG8" s="149">
        <f>+IFERROR(VLOOKUP($AF8,'Limited Loss'!$F$5:$P$24,AG$3,FALSE),0)</f>
        <v>0</v>
      </c>
      <c r="AH8" s="150">
        <f>+IFERROR(VLOOKUP($AF8,'Limited Loss'!$F$5:$P$24,AH$3,FALSE),0)</f>
        <v>0</v>
      </c>
      <c r="AI8" s="150">
        <f>+IFERROR(VLOOKUP($AF8,'Limited Loss'!$F$5:$P$24,AI$3,FALSE),0)</f>
        <v>0</v>
      </c>
      <c r="AJ8" s="150">
        <f>+IFERROR(VLOOKUP($AF8,'Limited Loss'!$F$5:$P$24,AJ$3,FALSE),0)</f>
        <v>0</v>
      </c>
      <c r="AK8" s="86">
        <f>+IFERROR(VLOOKUP($AF8,'Limited Loss'!$F$5:$P$24,AK$3,FALSE),0)</f>
        <v>0</v>
      </c>
      <c r="AL8" s="150">
        <f>+IFERROR(VLOOKUP($AF8,'Limited Loss'!$F$5:$P$24,AL$3,FALSE),0)</f>
        <v>0</v>
      </c>
      <c r="AM8" s="150">
        <f>+IFERROR(VLOOKUP($AF8,'Limited Loss'!$F$5:$P$24,AM$3,FALSE),0)</f>
        <v>0</v>
      </c>
      <c r="AN8" s="150">
        <f>+IFERROR(VLOOKUP($AF8,'Limited Loss'!$F$5:$P$24,AN$3,FALSE),0)</f>
        <v>0</v>
      </c>
      <c r="AO8" s="150">
        <f>+IFERROR(VLOOKUP($AF8,'Limited Loss'!$F$5:$P$24,AO$3,FALSE),0)</f>
        <v>0</v>
      </c>
      <c r="AP8" s="86">
        <f>+IFERROR(VLOOKUP($AF8,'Limited Loss'!$F$5:$P$24,AP$3,FALSE),0)</f>
        <v>0</v>
      </c>
      <c r="AQ8" s="150"/>
      <c r="AR8" s="59" t="str">
        <f t="shared" si="1"/>
        <v>7317F</v>
      </c>
      <c r="AS8" s="188">
        <f t="shared" si="1"/>
        <v>2015</v>
      </c>
      <c r="AT8" s="247">
        <f t="shared" si="2"/>
        <v>0</v>
      </c>
      <c r="AU8" s="247">
        <f t="shared" si="2"/>
        <v>0</v>
      </c>
      <c r="AV8" s="247">
        <f t="shared" si="2"/>
        <v>0</v>
      </c>
      <c r="AW8" s="247">
        <f t="shared" si="2"/>
        <v>0</v>
      </c>
      <c r="AX8" s="248">
        <f t="shared" si="2"/>
        <v>0</v>
      </c>
      <c r="AY8" s="247">
        <f t="shared" si="2"/>
        <v>0</v>
      </c>
      <c r="AZ8" s="247">
        <f t="shared" si="2"/>
        <v>0</v>
      </c>
      <c r="BA8" s="247">
        <f t="shared" si="2"/>
        <v>0</v>
      </c>
      <c r="BB8" s="247">
        <f t="shared" si="2"/>
        <v>0</v>
      </c>
      <c r="BC8" s="247">
        <f t="shared" si="2"/>
        <v>0</v>
      </c>
      <c r="BD8" s="248">
        <f t="shared" si="2"/>
        <v>84.168999999999997</v>
      </c>
      <c r="BE8" s="247">
        <f>+AT8+AU8+AV8+AY8+AZ8+BA8</f>
        <v>0</v>
      </c>
      <c r="BF8" s="150">
        <f t="shared" si="5"/>
        <v>0</v>
      </c>
      <c r="BG8" s="86">
        <f t="shared" si="6"/>
        <v>84.168999999999997</v>
      </c>
      <c r="BI8" s="91" t="s">
        <v>488</v>
      </c>
      <c r="BJ8" s="92">
        <v>0</v>
      </c>
      <c r="BK8" s="92">
        <v>30273.237399999998</v>
      </c>
      <c r="BL8" s="92">
        <v>0</v>
      </c>
    </row>
    <row r="9" spans="1:64" ht="14.6">
      <c r="A9" s="44" t="str">
        <f t="shared" si="3"/>
        <v>7327F2015</v>
      </c>
      <c r="B9" s="44" t="str">
        <f>Data_Loss!X6</f>
        <v>7327F</v>
      </c>
      <c r="C9" s="289">
        <f>Data_Loss!E6</f>
        <v>2015</v>
      </c>
      <c r="D9" s="150">
        <f>+IFERROR(VLOOKUP($A9,Data_Loss!$A$2:$V$100,6,FALSE),0)</f>
        <v>0</v>
      </c>
      <c r="E9" s="150">
        <f>+IFERROR(VLOOKUP($A9,Data_Loss!$A$2:$V$100,7,FALSE),0)</f>
        <v>0</v>
      </c>
      <c r="F9" s="150">
        <f>+IFERROR(VLOOKUP($A9,Data_Loss!$A$2:$V$100,8,FALSE),0)</f>
        <v>1</v>
      </c>
      <c r="G9" s="150">
        <f>+IFERROR(VLOOKUP($A9,Data_Loss!$A$2:$V$100,9,FALSE),0)</f>
        <v>1</v>
      </c>
      <c r="H9" s="150">
        <f>+IFERROR(VLOOKUP($A9,Data_Loss!$A$2:$V$100,10,FALSE),0)</f>
        <v>11</v>
      </c>
      <c r="I9" s="150">
        <f>+IFERROR(VLOOKUP($A9,Data_Loss!$A$2:$V$100,12,FALSE),0)</f>
        <v>0</v>
      </c>
      <c r="J9" s="150">
        <f>+IFERROR(VLOOKUP($A9,Data_Loss!$A$2:$V$100,13,FALSE),0)</f>
        <v>0</v>
      </c>
      <c r="K9" s="150">
        <f>+IFERROR(VLOOKUP($A9,Data_Loss!$A$2:$V$100,14,FALSE),0)</f>
        <v>172620</v>
      </c>
      <c r="L9" s="150">
        <f>+IFERROR(VLOOKUP($A9,Data_Loss!$A$2:$V$100,15,FALSE),0)</f>
        <v>85000</v>
      </c>
      <c r="M9" s="150">
        <f>+IFERROR(VLOOKUP($A9,Data_Loss!$A$2:$V$100,16,FALSE),0)</f>
        <v>92800</v>
      </c>
      <c r="N9" s="150">
        <f>+IFERROR(VLOOKUP($A9,Data_Loss!$A$2:$V$100,17,FALSE),0)</f>
        <v>0</v>
      </c>
      <c r="O9" s="150">
        <f>+IFERROR(VLOOKUP($A9,Data_Loss!$A$2:$V$100,18,FALSE),0)</f>
        <v>0</v>
      </c>
      <c r="P9" s="150">
        <f>+IFERROR(VLOOKUP($A9,Data_Loss!$A$2:$V$100,19,FALSE),0)</f>
        <v>21206</v>
      </c>
      <c r="Q9" s="150">
        <f>+IFERROR(VLOOKUP($A9,Data_Loss!$A$2:$V$100,20,FALSE),0)</f>
        <v>28283</v>
      </c>
      <c r="R9" s="150">
        <f>+IFERROR(VLOOKUP($A9,Data_Loss!$A$2:$V$100,21,FALSE),0)</f>
        <v>56824</v>
      </c>
      <c r="S9" s="150">
        <f>+IFERROR(VLOOKUP($A9,Data_Loss!$A$2:$V$100,22,FALSE),0)</f>
        <v>24277</v>
      </c>
      <c r="T9" s="580" cm="1">
        <f t="array" ref="T9">MMULT($I9:$M9,_xlfn._xlws.FILTER('10k &amp; MO'!C$3:C$31,'10k &amp; MO'!$B$3:$B$31=$C9,"0"))</f>
        <v>0</v>
      </c>
      <c r="U9" s="247" cm="1">
        <f t="array" ref="U9">MMULT($I9:$M9,_xlfn._xlws.FILTER('10k &amp; MO'!D$3:D$31,'10k &amp; MO'!$B$3:$B$31=$C9,"0"))</f>
        <v>0</v>
      </c>
      <c r="V9" s="247" cm="1">
        <f t="array" ref="V9">MMULT($I9:$M9,_xlfn._xlws.FILTER('10k &amp; MO'!E$3:E$31,'10k &amp; MO'!$B$3:$B$31=$C9,"0"))</f>
        <v>303120.71999999997</v>
      </c>
      <c r="W9" s="247" cm="1">
        <f t="array" ref="W9">MMULT($I9:$M9,_xlfn._xlws.FILTER('10k &amp; MO'!F$3:F$31,'10k &amp; MO'!$B$3:$B$31=$C9,"0"))</f>
        <v>149260</v>
      </c>
      <c r="X9" s="247" cm="1">
        <f t="array" ref="X9">MMULT($I9:$M9,_xlfn._xlws.FILTER('10k &amp; MO'!G$3:G$31,'10k &amp; MO'!$B$3:$B$31=$C9,"0"))</f>
        <v>162956.79999999999</v>
      </c>
      <c r="Y9" s="148" cm="1">
        <f t="array" ref="Y9">MMULT($N9:$R9,_xlfn._xlws.FILTER('10k &amp; MO'!H$3:H$31,'10k &amp; MO'!$B$3:$B$31=$C9,"0"))</f>
        <v>0</v>
      </c>
      <c r="Z9" s="247" cm="1">
        <f t="array" ref="Z9">MMULT($N9:$R9,_xlfn._xlws.FILTER('10k &amp; MO'!I$3:I$31,'10k &amp; MO'!$B$3:$B$31=$C9,"0"))</f>
        <v>0</v>
      </c>
      <c r="AA9" s="247" cm="1">
        <f t="array" ref="AA9">MMULT($N9:$R9,_xlfn._xlws.FILTER('10k &amp; MO'!J$3:J$31,'10k &amp; MO'!$B$3:$B$31=$C9,"0"))</f>
        <v>35435.226000000002</v>
      </c>
      <c r="AB9" s="247" cm="1">
        <f t="array" ref="AB9">MMULT($N9:$R9,_xlfn._xlws.FILTER('10k &amp; MO'!K$3:K$31,'10k &amp; MO'!$B$3:$B$31=$C9,"0"))</f>
        <v>47260.893000000004</v>
      </c>
      <c r="AC9" s="248" cm="1">
        <f t="array" ref="AC9">MMULT($N9:$R9,_xlfn._xlws.FILTER('10k &amp; MO'!L$3:L$31,'10k &amp; MO'!$B$3:$B$31=$C9,"0"))</f>
        <v>94952.90400000001</v>
      </c>
      <c r="AD9" s="248">
        <f>S9*_xlfn.XLOOKUP(C9,'10k &amp; MO'!$N$3:$N$7,'10k &amp; MO'!$O$3:$O$7)</f>
        <v>27991.381000000001</v>
      </c>
      <c r="AF9" s="149" t="str">
        <f t="shared" si="0"/>
        <v>7327F2015</v>
      </c>
      <c r="AG9" s="149">
        <f>+IFERROR(VLOOKUP($AF9,'Limited Loss'!$F$5:$P$24,AG$3,FALSE),0)</f>
        <v>0</v>
      </c>
      <c r="AH9" s="150">
        <f>+IFERROR(VLOOKUP($AF9,'Limited Loss'!$F$5:$P$24,AH$3,FALSE),0)</f>
        <v>0</v>
      </c>
      <c r="AI9" s="150">
        <f>+IFERROR(VLOOKUP($AF9,'Limited Loss'!$F$5:$P$24,AI$3,FALSE),0)</f>
        <v>0</v>
      </c>
      <c r="AJ9" s="150">
        <f>+IFERROR(VLOOKUP($AF9,'Limited Loss'!$F$5:$P$24,AJ$3,FALSE),0)</f>
        <v>0</v>
      </c>
      <c r="AK9" s="86">
        <f>+IFERROR(VLOOKUP($AF9,'Limited Loss'!$F$5:$P$24,AK$3,FALSE),0)</f>
        <v>0</v>
      </c>
      <c r="AL9" s="150">
        <f>+IFERROR(VLOOKUP($AF9,'Limited Loss'!$F$5:$P$24,AL$3,FALSE),0)</f>
        <v>0</v>
      </c>
      <c r="AM9" s="150">
        <f>+IFERROR(VLOOKUP($AF9,'Limited Loss'!$F$5:$P$24,AM$3,FALSE),0)</f>
        <v>0</v>
      </c>
      <c r="AN9" s="150">
        <f>+IFERROR(VLOOKUP($AF9,'Limited Loss'!$F$5:$P$24,AN$3,FALSE),0)</f>
        <v>0</v>
      </c>
      <c r="AO9" s="150">
        <f>+IFERROR(VLOOKUP($AF9,'Limited Loss'!$F$5:$P$24,AO$3,FALSE),0)</f>
        <v>0</v>
      </c>
      <c r="AP9" s="86">
        <f>+IFERROR(VLOOKUP($AF9,'Limited Loss'!$F$5:$P$24,AP$3,FALSE),0)</f>
        <v>0</v>
      </c>
      <c r="AQ9" s="150"/>
      <c r="AR9" s="59" t="str">
        <f t="shared" si="1"/>
        <v>7327F</v>
      </c>
      <c r="AS9" s="188">
        <f t="shared" si="1"/>
        <v>2015</v>
      </c>
      <c r="AT9" s="247">
        <f t="shared" si="2"/>
        <v>0</v>
      </c>
      <c r="AU9" s="247">
        <f t="shared" si="2"/>
        <v>0</v>
      </c>
      <c r="AV9" s="247">
        <f t="shared" si="2"/>
        <v>303120.71999999997</v>
      </c>
      <c r="AW9" s="247">
        <f t="shared" si="2"/>
        <v>149260</v>
      </c>
      <c r="AX9" s="248">
        <f t="shared" si="2"/>
        <v>162956.79999999999</v>
      </c>
      <c r="AY9" s="247">
        <f t="shared" si="2"/>
        <v>0</v>
      </c>
      <c r="AZ9" s="247">
        <f t="shared" si="2"/>
        <v>0</v>
      </c>
      <c r="BA9" s="247">
        <f t="shared" si="2"/>
        <v>35435.226000000002</v>
      </c>
      <c r="BB9" s="247">
        <f t="shared" si="2"/>
        <v>47260.893000000004</v>
      </c>
      <c r="BC9" s="247">
        <f t="shared" si="2"/>
        <v>94952.90400000001</v>
      </c>
      <c r="BD9" s="248">
        <f t="shared" si="2"/>
        <v>27991.381000000001</v>
      </c>
      <c r="BE9" s="247">
        <f t="shared" si="4"/>
        <v>338555.946</v>
      </c>
      <c r="BF9" s="150">
        <f t="shared" si="5"/>
        <v>454430.59699999995</v>
      </c>
      <c r="BG9" s="86">
        <f t="shared" si="6"/>
        <v>27991.381000000001</v>
      </c>
      <c r="BI9" s="91" t="s">
        <v>489</v>
      </c>
      <c r="BJ9" s="92">
        <v>3090204.6798</v>
      </c>
      <c r="BK9" s="92">
        <v>2776060.3740000003</v>
      </c>
      <c r="BL9" s="92">
        <v>34764.102999999996</v>
      </c>
    </row>
    <row r="10" spans="1:64" ht="14.6">
      <c r="A10" s="44" t="str">
        <f t="shared" si="3"/>
        <v>7366F2015</v>
      </c>
      <c r="B10" s="44" t="str">
        <f>Data_Loss!X7</f>
        <v>7366F</v>
      </c>
      <c r="C10" s="289">
        <f>Data_Loss!E7</f>
        <v>2015</v>
      </c>
      <c r="D10" s="150">
        <f>+IFERROR(VLOOKUP($A10,Data_Loss!$A$2:$V$100,6,FALSE),0)</f>
        <v>0</v>
      </c>
      <c r="E10" s="150">
        <f>+IFERROR(VLOOKUP($A10,Data_Loss!$A$2:$V$100,7,FALSE),0)</f>
        <v>0</v>
      </c>
      <c r="F10" s="150">
        <f>+IFERROR(VLOOKUP($A10,Data_Loss!$A$2:$V$100,8,FALSE),0)</f>
        <v>0</v>
      </c>
      <c r="G10" s="150">
        <f>+IFERROR(VLOOKUP($A10,Data_Loss!$A$2:$V$100,9,FALSE),0)</f>
        <v>0</v>
      </c>
      <c r="H10" s="150">
        <f>+IFERROR(VLOOKUP($A10,Data_Loss!$A$2:$V$100,10,FALSE),0)</f>
        <v>3</v>
      </c>
      <c r="I10" s="150">
        <f>+IFERROR(VLOOKUP($A10,Data_Loss!$A$2:$V$100,12,FALSE),0)</f>
        <v>0</v>
      </c>
      <c r="J10" s="150">
        <f>+IFERROR(VLOOKUP($A10,Data_Loss!$A$2:$V$100,13,FALSE),0)</f>
        <v>0</v>
      </c>
      <c r="K10" s="150">
        <f>+IFERROR(VLOOKUP($A10,Data_Loss!$A$2:$V$100,14,FALSE),0)</f>
        <v>0</v>
      </c>
      <c r="L10" s="150">
        <f>+IFERROR(VLOOKUP($A10,Data_Loss!$A$2:$V$100,15,FALSE),0)</f>
        <v>0</v>
      </c>
      <c r="M10" s="150">
        <f>+IFERROR(VLOOKUP($A10,Data_Loss!$A$2:$V$100,16,FALSE),0)</f>
        <v>17956</v>
      </c>
      <c r="N10" s="150">
        <f>+IFERROR(VLOOKUP($A10,Data_Loss!$A$2:$V$100,17,FALSE),0)</f>
        <v>0</v>
      </c>
      <c r="O10" s="150">
        <f>+IFERROR(VLOOKUP($A10,Data_Loss!$A$2:$V$100,18,FALSE),0)</f>
        <v>0</v>
      </c>
      <c r="P10" s="150">
        <f>+IFERROR(VLOOKUP($A10,Data_Loss!$A$2:$V$100,19,FALSE),0)</f>
        <v>0</v>
      </c>
      <c r="Q10" s="150">
        <f>+IFERROR(VLOOKUP($A10,Data_Loss!$A$2:$V$100,20,FALSE),0)</f>
        <v>0</v>
      </c>
      <c r="R10" s="150">
        <f>+IFERROR(VLOOKUP($A10,Data_Loss!$A$2:$V$100,21,FALSE),0)</f>
        <v>7583</v>
      </c>
      <c r="S10" s="150">
        <f>+IFERROR(VLOOKUP($A10,Data_Loss!$A$2:$V$100,22,FALSE),0)</f>
        <v>6853</v>
      </c>
      <c r="T10" s="580" cm="1">
        <f t="array" ref="T10">MMULT($I10:$M10,_xlfn._xlws.FILTER('10k &amp; MO'!C$3:C$31,'10k &amp; MO'!$B$3:$B$31=$C10,"0"))</f>
        <v>0</v>
      </c>
      <c r="U10" s="247" cm="1">
        <f t="array" ref="U10">MMULT($I10:$M10,_xlfn._xlws.FILTER('10k &amp; MO'!D$3:D$31,'10k &amp; MO'!$B$3:$B$31=$C10,"0"))</f>
        <v>0</v>
      </c>
      <c r="V10" s="247" cm="1">
        <f t="array" ref="V10">MMULT($I10:$M10,_xlfn._xlws.FILTER('10k &amp; MO'!E$3:E$31,'10k &amp; MO'!$B$3:$B$31=$C10,"0"))</f>
        <v>0</v>
      </c>
      <c r="W10" s="247" cm="1">
        <f t="array" ref="W10">MMULT($I10:$M10,_xlfn._xlws.FILTER('10k &amp; MO'!F$3:F$31,'10k &amp; MO'!$B$3:$B$31=$C10,"0"))</f>
        <v>0</v>
      </c>
      <c r="X10" s="247" cm="1">
        <f t="array" ref="X10">MMULT($I10:$M10,_xlfn._xlws.FILTER('10k &amp; MO'!G$3:G$31,'10k &amp; MO'!$B$3:$B$31=$C10,"0"))</f>
        <v>31530.736000000001</v>
      </c>
      <c r="Y10" s="148" cm="1">
        <f t="array" ref="Y10">MMULT($N10:$R10,_xlfn._xlws.FILTER('10k &amp; MO'!H$3:H$31,'10k &amp; MO'!$B$3:$B$31=$C10,"0"))</f>
        <v>0</v>
      </c>
      <c r="Z10" s="247" cm="1">
        <f t="array" ref="Z10">MMULT($N10:$R10,_xlfn._xlws.FILTER('10k &amp; MO'!I$3:I$31,'10k &amp; MO'!$B$3:$B$31=$C10,"0"))</f>
        <v>0</v>
      </c>
      <c r="AA10" s="247" cm="1">
        <f t="array" ref="AA10">MMULT($N10:$R10,_xlfn._xlws.FILTER('10k &amp; MO'!J$3:J$31,'10k &amp; MO'!$B$3:$B$31=$C10,"0"))</f>
        <v>0</v>
      </c>
      <c r="AB10" s="247" cm="1">
        <f t="array" ref="AB10">MMULT($N10:$R10,_xlfn._xlws.FILTER('10k &amp; MO'!K$3:K$31,'10k &amp; MO'!$B$3:$B$31=$C10,"0"))</f>
        <v>0</v>
      </c>
      <c r="AC10" s="248" cm="1">
        <f t="array" ref="AC10">MMULT($N10:$R10,_xlfn._xlws.FILTER('10k &amp; MO'!L$3:L$31,'10k &amp; MO'!$B$3:$B$31=$C10,"0"))</f>
        <v>12671.193000000001</v>
      </c>
      <c r="AD10" s="248">
        <f>S10*_xlfn.XLOOKUP(C10,'10k &amp; MO'!$N$3:$N$7,'10k &amp; MO'!$O$3:$O$7)</f>
        <v>7901.509</v>
      </c>
      <c r="AF10" s="149" t="str">
        <f t="shared" si="0"/>
        <v>7366F2015</v>
      </c>
      <c r="AG10" s="149">
        <f>+IFERROR(VLOOKUP($AF10,'Limited Loss'!$F$5:$P$24,AG$3,FALSE),0)</f>
        <v>0</v>
      </c>
      <c r="AH10" s="150">
        <f>+IFERROR(VLOOKUP($AF10,'Limited Loss'!$F$5:$P$24,AH$3,FALSE),0)</f>
        <v>0</v>
      </c>
      <c r="AI10" s="150">
        <f>+IFERROR(VLOOKUP($AF10,'Limited Loss'!$F$5:$P$24,AI$3,FALSE),0)</f>
        <v>0</v>
      </c>
      <c r="AJ10" s="150">
        <f>+IFERROR(VLOOKUP($AF10,'Limited Loss'!$F$5:$P$24,AJ$3,FALSE),0)</f>
        <v>0</v>
      </c>
      <c r="AK10" s="86">
        <f>+IFERROR(VLOOKUP($AF10,'Limited Loss'!$F$5:$P$24,AK$3,FALSE),0)</f>
        <v>0</v>
      </c>
      <c r="AL10" s="150">
        <f>+IFERROR(VLOOKUP($AF10,'Limited Loss'!$F$5:$P$24,AL$3,FALSE),0)</f>
        <v>0</v>
      </c>
      <c r="AM10" s="150">
        <f>+IFERROR(VLOOKUP($AF10,'Limited Loss'!$F$5:$P$24,AM$3,FALSE),0)</f>
        <v>0</v>
      </c>
      <c r="AN10" s="150">
        <f>+IFERROR(VLOOKUP($AF10,'Limited Loss'!$F$5:$P$24,AN$3,FALSE),0)</f>
        <v>0</v>
      </c>
      <c r="AO10" s="150">
        <f>+IFERROR(VLOOKUP($AF10,'Limited Loss'!$F$5:$P$24,AO$3,FALSE),0)</f>
        <v>0</v>
      </c>
      <c r="AP10" s="86">
        <f>+IFERROR(VLOOKUP($AF10,'Limited Loss'!$F$5:$P$24,AP$3,FALSE),0)</f>
        <v>0</v>
      </c>
      <c r="AQ10" s="150"/>
      <c r="AR10" s="59" t="str">
        <f t="shared" si="1"/>
        <v>7366F</v>
      </c>
      <c r="AS10" s="188">
        <f t="shared" si="1"/>
        <v>2015</v>
      </c>
      <c r="AT10" s="247">
        <f t="shared" si="2"/>
        <v>0</v>
      </c>
      <c r="AU10" s="247">
        <f t="shared" si="2"/>
        <v>0</v>
      </c>
      <c r="AV10" s="247">
        <f t="shared" si="2"/>
        <v>0</v>
      </c>
      <c r="AW10" s="247">
        <f t="shared" si="2"/>
        <v>0</v>
      </c>
      <c r="AX10" s="248">
        <f t="shared" si="2"/>
        <v>31530.736000000001</v>
      </c>
      <c r="AY10" s="247">
        <f t="shared" si="2"/>
        <v>0</v>
      </c>
      <c r="AZ10" s="247">
        <f t="shared" si="2"/>
        <v>0</v>
      </c>
      <c r="BA10" s="247">
        <f t="shared" si="2"/>
        <v>0</v>
      </c>
      <c r="BB10" s="247">
        <f t="shared" si="2"/>
        <v>0</v>
      </c>
      <c r="BC10" s="247">
        <f t="shared" si="2"/>
        <v>12671.193000000001</v>
      </c>
      <c r="BD10" s="248">
        <f t="shared" si="2"/>
        <v>7901.509</v>
      </c>
      <c r="BE10" s="247">
        <f t="shared" si="4"/>
        <v>0</v>
      </c>
      <c r="BF10" s="150">
        <f t="shared" si="5"/>
        <v>44201.929000000004</v>
      </c>
      <c r="BG10" s="86">
        <f t="shared" si="6"/>
        <v>7901.509</v>
      </c>
      <c r="BI10" s="91" t="s">
        <v>490</v>
      </c>
      <c r="BJ10" s="92">
        <v>0</v>
      </c>
      <c r="BK10" s="92">
        <v>635474.69010000001</v>
      </c>
      <c r="BL10" s="92">
        <v>28390.318999999996</v>
      </c>
    </row>
    <row r="11" spans="1:64" ht="14.6">
      <c r="A11" s="44" t="str">
        <f t="shared" si="3"/>
        <v>8709F2015</v>
      </c>
      <c r="B11" s="44" t="str">
        <f>Data_Loss!X8</f>
        <v>8709F</v>
      </c>
      <c r="C11" s="289">
        <f>Data_Loss!E8</f>
        <v>2015</v>
      </c>
      <c r="D11" s="150">
        <f>+IFERROR(VLOOKUP($A11,Data_Loss!$A$2:$V$100,6,FALSE),0)</f>
        <v>0</v>
      </c>
      <c r="E11" s="150">
        <f>+IFERROR(VLOOKUP($A11,Data_Loss!$A$2:$V$100,7,FALSE),0)</f>
        <v>0</v>
      </c>
      <c r="F11" s="150">
        <f>+IFERROR(VLOOKUP($A11,Data_Loss!$A$2:$V$100,8,FALSE),0)</f>
        <v>0</v>
      </c>
      <c r="G11" s="150">
        <f>+IFERROR(VLOOKUP($A11,Data_Loss!$A$2:$V$100,9,FALSE),0)</f>
        <v>0</v>
      </c>
      <c r="H11" s="150">
        <f>+IFERROR(VLOOKUP($A11,Data_Loss!$A$2:$V$100,10,FALSE),0)</f>
        <v>3</v>
      </c>
      <c r="I11" s="150">
        <f>+IFERROR(VLOOKUP($A11,Data_Loss!$A$2:$V$100,12,FALSE),0)</f>
        <v>0</v>
      </c>
      <c r="J11" s="150">
        <f>+IFERROR(VLOOKUP($A11,Data_Loss!$A$2:$V$100,13,FALSE),0)</f>
        <v>0</v>
      </c>
      <c r="K11" s="150">
        <f>+IFERROR(VLOOKUP($A11,Data_Loss!$A$2:$V$100,14,FALSE),0)</f>
        <v>0</v>
      </c>
      <c r="L11" s="150">
        <f>+IFERROR(VLOOKUP($A11,Data_Loss!$A$2:$V$100,15,FALSE),0)</f>
        <v>0</v>
      </c>
      <c r="M11" s="150">
        <f>+IFERROR(VLOOKUP($A11,Data_Loss!$A$2:$V$100,16,FALSE),0)</f>
        <v>6022</v>
      </c>
      <c r="N11" s="150">
        <f>+IFERROR(VLOOKUP($A11,Data_Loss!$A$2:$V$100,17,FALSE),0)</f>
        <v>0</v>
      </c>
      <c r="O11" s="150">
        <f>+IFERROR(VLOOKUP($A11,Data_Loss!$A$2:$V$100,18,FALSE),0)</f>
        <v>0</v>
      </c>
      <c r="P11" s="150">
        <f>+IFERROR(VLOOKUP($A11,Data_Loss!$A$2:$V$100,19,FALSE),0)</f>
        <v>0</v>
      </c>
      <c r="Q11" s="150">
        <f>+IFERROR(VLOOKUP($A11,Data_Loss!$A$2:$V$100,20,FALSE),0)</f>
        <v>0</v>
      </c>
      <c r="R11" s="150">
        <f>+IFERROR(VLOOKUP($A11,Data_Loss!$A$2:$V$100,21,FALSE),0)</f>
        <v>2747</v>
      </c>
      <c r="S11" s="150">
        <f>+IFERROR(VLOOKUP($A11,Data_Loss!$A$2:$V$100,22,FALSE),0)</f>
        <v>15876</v>
      </c>
      <c r="T11" s="580" cm="1">
        <f t="array" ref="T11">MMULT($I11:$M11,_xlfn._xlws.FILTER('10k &amp; MO'!C$3:C$31,'10k &amp; MO'!$B$3:$B$31=$C11,"0"))</f>
        <v>0</v>
      </c>
      <c r="U11" s="247" cm="1">
        <f t="array" ref="U11">MMULT($I11:$M11,_xlfn._xlws.FILTER('10k &amp; MO'!D$3:D$31,'10k &amp; MO'!$B$3:$B$31=$C11,"0"))</f>
        <v>0</v>
      </c>
      <c r="V11" s="247" cm="1">
        <f t="array" ref="V11">MMULT($I11:$M11,_xlfn._xlws.FILTER('10k &amp; MO'!E$3:E$31,'10k &amp; MO'!$B$3:$B$31=$C11,"0"))</f>
        <v>0</v>
      </c>
      <c r="W11" s="247" cm="1">
        <f t="array" ref="W11">MMULT($I11:$M11,_xlfn._xlws.FILTER('10k &amp; MO'!F$3:F$31,'10k &amp; MO'!$B$3:$B$31=$C11,"0"))</f>
        <v>0</v>
      </c>
      <c r="X11" s="247" cm="1">
        <f t="array" ref="X11">MMULT($I11:$M11,_xlfn._xlws.FILTER('10k &amp; MO'!G$3:G$31,'10k &amp; MO'!$B$3:$B$31=$C11,"0"))</f>
        <v>10574.632</v>
      </c>
      <c r="Y11" s="148" cm="1">
        <f t="array" ref="Y11">MMULT($N11:$R11,_xlfn._xlws.FILTER('10k &amp; MO'!H$3:H$31,'10k &amp; MO'!$B$3:$B$31=$C11,"0"))</f>
        <v>0</v>
      </c>
      <c r="Z11" s="247" cm="1">
        <f t="array" ref="Z11">MMULT($N11:$R11,_xlfn._xlws.FILTER('10k &amp; MO'!I$3:I$31,'10k &amp; MO'!$B$3:$B$31=$C11,"0"))</f>
        <v>0</v>
      </c>
      <c r="AA11" s="247" cm="1">
        <f t="array" ref="AA11">MMULT($N11:$R11,_xlfn._xlws.FILTER('10k &amp; MO'!J$3:J$31,'10k &amp; MO'!$B$3:$B$31=$C11,"0"))</f>
        <v>0</v>
      </c>
      <c r="AB11" s="247" cm="1">
        <f t="array" ref="AB11">MMULT($N11:$R11,_xlfn._xlws.FILTER('10k &amp; MO'!K$3:K$31,'10k &amp; MO'!$B$3:$B$31=$C11,"0"))</f>
        <v>0</v>
      </c>
      <c r="AC11" s="248" cm="1">
        <f t="array" ref="AC11">MMULT($N11:$R11,_xlfn._xlws.FILTER('10k &amp; MO'!L$3:L$31,'10k &amp; MO'!$B$3:$B$31=$C11,"0"))</f>
        <v>4590.2370000000001</v>
      </c>
      <c r="AD11" s="248">
        <f>S11*_xlfn.XLOOKUP(C11,'10k &amp; MO'!$N$3:$N$7,'10k &amp; MO'!$O$3:$O$7)</f>
        <v>18305.028000000002</v>
      </c>
      <c r="AF11" s="149" t="str">
        <f t="shared" si="0"/>
        <v>8709F2015</v>
      </c>
      <c r="AG11" s="149">
        <f>+IFERROR(VLOOKUP($AF11,'Limited Loss'!$F$5:$P$24,AG$3,FALSE),0)</f>
        <v>0</v>
      </c>
      <c r="AH11" s="150">
        <f>+IFERROR(VLOOKUP($AF11,'Limited Loss'!$F$5:$P$24,AH$3,FALSE),0)</f>
        <v>0</v>
      </c>
      <c r="AI11" s="150">
        <f>+IFERROR(VLOOKUP($AF11,'Limited Loss'!$F$5:$P$24,AI$3,FALSE),0)</f>
        <v>0</v>
      </c>
      <c r="AJ11" s="150">
        <f>+IFERROR(VLOOKUP($AF11,'Limited Loss'!$F$5:$P$24,AJ$3,FALSE),0)</f>
        <v>0</v>
      </c>
      <c r="AK11" s="86">
        <f>+IFERROR(VLOOKUP($AF11,'Limited Loss'!$F$5:$P$24,AK$3,FALSE),0)</f>
        <v>0</v>
      </c>
      <c r="AL11" s="150">
        <f>+IFERROR(VLOOKUP($AF11,'Limited Loss'!$F$5:$P$24,AL$3,FALSE),0)</f>
        <v>0</v>
      </c>
      <c r="AM11" s="150">
        <f>+IFERROR(VLOOKUP($AF11,'Limited Loss'!$F$5:$P$24,AM$3,FALSE),0)</f>
        <v>0</v>
      </c>
      <c r="AN11" s="150">
        <f>+IFERROR(VLOOKUP($AF11,'Limited Loss'!$F$5:$P$24,AN$3,FALSE),0)</f>
        <v>0</v>
      </c>
      <c r="AO11" s="150">
        <f>+IFERROR(VLOOKUP($AF11,'Limited Loss'!$F$5:$P$24,AO$3,FALSE),0)</f>
        <v>0</v>
      </c>
      <c r="AP11" s="86">
        <f>+IFERROR(VLOOKUP($AF11,'Limited Loss'!$F$5:$P$24,AP$3,FALSE),0)</f>
        <v>0</v>
      </c>
      <c r="AQ11" s="150"/>
      <c r="AR11" s="59" t="str">
        <f t="shared" si="1"/>
        <v>8709F</v>
      </c>
      <c r="AS11" s="188">
        <f t="shared" si="1"/>
        <v>2015</v>
      </c>
      <c r="AT11" s="247">
        <f t="shared" si="2"/>
        <v>0</v>
      </c>
      <c r="AU11" s="247">
        <f t="shared" si="2"/>
        <v>0</v>
      </c>
      <c r="AV11" s="247">
        <f t="shared" si="2"/>
        <v>0</v>
      </c>
      <c r="AW11" s="247">
        <f t="shared" si="2"/>
        <v>0</v>
      </c>
      <c r="AX11" s="248">
        <f t="shared" si="2"/>
        <v>10574.632</v>
      </c>
      <c r="AY11" s="247">
        <f t="shared" si="2"/>
        <v>0</v>
      </c>
      <c r="AZ11" s="247">
        <f t="shared" si="2"/>
        <v>0</v>
      </c>
      <c r="BA11" s="247">
        <f t="shared" si="2"/>
        <v>0</v>
      </c>
      <c r="BB11" s="247">
        <f t="shared" si="2"/>
        <v>0</v>
      </c>
      <c r="BC11" s="247">
        <f t="shared" si="2"/>
        <v>4590.2370000000001</v>
      </c>
      <c r="BD11" s="248">
        <f t="shared" si="2"/>
        <v>18305.028000000002</v>
      </c>
      <c r="BE11" s="247">
        <f t="shared" si="4"/>
        <v>0</v>
      </c>
      <c r="BF11" s="150">
        <f t="shared" si="5"/>
        <v>15164.868999999999</v>
      </c>
      <c r="BG11" s="86">
        <f t="shared" si="6"/>
        <v>18305.028000000002</v>
      </c>
      <c r="BI11" s="91" t="s">
        <v>491</v>
      </c>
      <c r="BJ11" s="92">
        <v>0</v>
      </c>
      <c r="BK11" s="92">
        <v>145011.05439999999</v>
      </c>
      <c r="BL11" s="92">
        <v>6735.826</v>
      </c>
    </row>
    <row r="12" spans="1:64" ht="14.6">
      <c r="A12" s="44" t="str">
        <f t="shared" si="3"/>
        <v>6843F2016</v>
      </c>
      <c r="B12" s="44" t="str">
        <f>Data_Loss!X9</f>
        <v>6843F</v>
      </c>
      <c r="C12" s="289">
        <f>Data_Loss!E9</f>
        <v>2016</v>
      </c>
      <c r="D12" s="150">
        <f>+IFERROR(VLOOKUP($A12,Data_Loss!$A$2:$V$100,6,FALSE),0)</f>
        <v>0</v>
      </c>
      <c r="E12" s="150">
        <f>+IFERROR(VLOOKUP($A12,Data_Loss!$A$2:$V$100,7,FALSE),0)</f>
        <v>0</v>
      </c>
      <c r="F12" s="150">
        <f>+IFERROR(VLOOKUP($A12,Data_Loss!$A$2:$V$100,8,FALSE),0)</f>
        <v>0</v>
      </c>
      <c r="G12" s="150">
        <f>+IFERROR(VLOOKUP($A12,Data_Loss!$A$2:$V$100,9,FALSE),0)</f>
        <v>1</v>
      </c>
      <c r="H12" s="150">
        <f>+IFERROR(VLOOKUP($A12,Data_Loss!$A$2:$V$100,10,FALSE),0)</f>
        <v>16</v>
      </c>
      <c r="I12" s="150">
        <f>+IFERROR(VLOOKUP($A12,Data_Loss!$A$2:$V$100,12,FALSE),0)</f>
        <v>0</v>
      </c>
      <c r="J12" s="150">
        <f>+IFERROR(VLOOKUP($A12,Data_Loss!$A$2:$V$100,13,FALSE),0)</f>
        <v>0</v>
      </c>
      <c r="K12" s="150">
        <f>+IFERROR(VLOOKUP($A12,Data_Loss!$A$2:$V$100,14,FALSE),0)</f>
        <v>0</v>
      </c>
      <c r="L12" s="150">
        <f>+IFERROR(VLOOKUP($A12,Data_Loss!$A$2:$V$100,15,FALSE),0)</f>
        <v>124115</v>
      </c>
      <c r="M12" s="150">
        <f>+IFERROR(VLOOKUP($A12,Data_Loss!$A$2:$V$100,16,FALSE),0)</f>
        <v>166705</v>
      </c>
      <c r="N12" s="150">
        <f>+IFERROR(VLOOKUP($A12,Data_Loss!$A$2:$V$100,17,FALSE),0)</f>
        <v>0</v>
      </c>
      <c r="O12" s="150">
        <f>+IFERROR(VLOOKUP($A12,Data_Loss!$A$2:$V$100,18,FALSE),0)</f>
        <v>0</v>
      </c>
      <c r="P12" s="150">
        <f>+IFERROR(VLOOKUP($A12,Data_Loss!$A$2:$V$100,19,FALSE),0)</f>
        <v>0</v>
      </c>
      <c r="Q12" s="150">
        <f>+IFERROR(VLOOKUP($A12,Data_Loss!$A$2:$V$100,20,FALSE),0)</f>
        <v>27886</v>
      </c>
      <c r="R12" s="150">
        <f>+IFERROR(VLOOKUP($A12,Data_Loss!$A$2:$V$100,21,FALSE),0)</f>
        <v>130249</v>
      </c>
      <c r="S12" s="150">
        <f>+IFERROR(VLOOKUP($A12,Data_Loss!$A$2:$V$100,22,FALSE),0)</f>
        <v>10393</v>
      </c>
      <c r="T12" s="580" cm="1">
        <f t="array" ref="T12">MMULT($I12:$M12,_xlfn._xlws.FILTER('10k &amp; MO'!C$3:C$31,'10k &amp; MO'!$B$3:$B$31=$C12,"0"))</f>
        <v>0</v>
      </c>
      <c r="U12" s="247" cm="1">
        <f t="array" ref="U12">MMULT($I12:$M12,_xlfn._xlws.FILTER('10k &amp; MO'!D$3:D$31,'10k &amp; MO'!$B$3:$B$31=$C12,"0"))</f>
        <v>0</v>
      </c>
      <c r="V12" s="247" cm="1">
        <f t="array" ref="V12">MMULT($I12:$M12,_xlfn._xlws.FILTER('10k &amp; MO'!E$3:E$31,'10k &amp; MO'!$B$3:$B$31=$C12,"0"))</f>
        <v>0</v>
      </c>
      <c r="W12" s="247" cm="1">
        <f t="array" ref="W12">MMULT($I12:$M12,_xlfn._xlws.FILTER('10k &amp; MO'!F$3:F$31,'10k &amp; MO'!$B$3:$B$31=$C12,"0"))</f>
        <v>229165.93600000002</v>
      </c>
      <c r="X12" s="247" cm="1">
        <f t="array" ref="X12">MMULT($I12:$M12,_xlfn._xlws.FILTER('10k &amp; MO'!G$3:G$31,'10k &amp; MO'!$B$3:$B$31=$C12,"0"))</f>
        <v>307804.11200000002</v>
      </c>
      <c r="Y12" s="148" cm="1">
        <f t="array" ref="Y12">MMULT($N12:$R12,_xlfn._xlws.FILTER('10k &amp; MO'!H$3:H$31,'10k &amp; MO'!$B$3:$B$31=$C12,"0"))</f>
        <v>0</v>
      </c>
      <c r="Z12" s="247" cm="1">
        <f t="array" ref="Z12">MMULT($N12:$R12,_xlfn._xlws.FILTER('10k &amp; MO'!I$3:I$31,'10k &amp; MO'!$B$3:$B$31=$C12,"0"))</f>
        <v>0</v>
      </c>
      <c r="AA12" s="247" cm="1">
        <f t="array" ref="AA12">MMULT($N12:$R12,_xlfn._xlws.FILTER('10k &amp; MO'!J$3:J$31,'10k &amp; MO'!$B$3:$B$31=$C12,"0"))</f>
        <v>0</v>
      </c>
      <c r="AB12" s="247" cm="1">
        <f t="array" ref="AB12">MMULT($N12:$R12,_xlfn._xlws.FILTER('10k &amp; MO'!K$3:K$31,'10k &amp; MO'!$B$3:$B$31=$C12,"0"))</f>
        <v>47659.962599999999</v>
      </c>
      <c r="AC12" s="248" cm="1">
        <f t="array" ref="AC12">MMULT($N12:$R12,_xlfn._xlws.FILTER('10k &amp; MO'!L$3:L$31,'10k &amp; MO'!$B$3:$B$31=$C12,"0"))</f>
        <v>222608.56590000002</v>
      </c>
      <c r="AD12" s="248">
        <f>S12*_xlfn.XLOOKUP(C12,'10k &amp; MO'!$N$3:$N$7,'10k &amp; MO'!$O$3:$O$7)</f>
        <v>11983.129000000001</v>
      </c>
      <c r="AF12" s="149" t="str">
        <f t="shared" si="0"/>
        <v>6843F2016</v>
      </c>
      <c r="AG12" s="149">
        <f>+IFERROR(VLOOKUP($AF12,'Limited Loss'!$F$5:$P$24,AG$3,FALSE),0)</f>
        <v>0</v>
      </c>
      <c r="AH12" s="150">
        <f>+IFERROR(VLOOKUP($AF12,'Limited Loss'!$F$5:$P$24,AH$3,FALSE),0)</f>
        <v>0</v>
      </c>
      <c r="AI12" s="150">
        <f>+IFERROR(VLOOKUP($AF12,'Limited Loss'!$F$5:$P$24,AI$3,FALSE),0)</f>
        <v>0</v>
      </c>
      <c r="AJ12" s="150">
        <f>+IFERROR(VLOOKUP($AF12,'Limited Loss'!$F$5:$P$24,AJ$3,FALSE),0)</f>
        <v>0</v>
      </c>
      <c r="AK12" s="86">
        <f>+IFERROR(VLOOKUP($AF12,'Limited Loss'!$F$5:$P$24,AK$3,FALSE),0)</f>
        <v>0</v>
      </c>
      <c r="AL12" s="150">
        <f>+IFERROR(VLOOKUP($AF12,'Limited Loss'!$F$5:$P$24,AL$3,FALSE),0)</f>
        <v>0</v>
      </c>
      <c r="AM12" s="150">
        <f>+IFERROR(VLOOKUP($AF12,'Limited Loss'!$F$5:$P$24,AM$3,FALSE),0)</f>
        <v>0</v>
      </c>
      <c r="AN12" s="150">
        <f>+IFERROR(VLOOKUP($AF12,'Limited Loss'!$F$5:$P$24,AN$3,FALSE),0)</f>
        <v>0</v>
      </c>
      <c r="AO12" s="150">
        <f>+IFERROR(VLOOKUP($AF12,'Limited Loss'!$F$5:$P$24,AO$3,FALSE),0)</f>
        <v>0</v>
      </c>
      <c r="AP12" s="86">
        <f>+IFERROR(VLOOKUP($AF12,'Limited Loss'!$F$5:$P$24,AP$3,FALSE),0)</f>
        <v>0</v>
      </c>
      <c r="AQ12" s="150"/>
      <c r="AR12" s="59" t="str">
        <f t="shared" si="1"/>
        <v>6843F</v>
      </c>
      <c r="AS12" s="188">
        <f t="shared" si="1"/>
        <v>2016</v>
      </c>
      <c r="AT12" s="247">
        <f t="shared" si="2"/>
        <v>0</v>
      </c>
      <c r="AU12" s="247">
        <f t="shared" si="2"/>
        <v>0</v>
      </c>
      <c r="AV12" s="247">
        <f t="shared" si="2"/>
        <v>0</v>
      </c>
      <c r="AW12" s="247">
        <f t="shared" si="2"/>
        <v>229165.93600000002</v>
      </c>
      <c r="AX12" s="248">
        <f t="shared" si="2"/>
        <v>307804.11200000002</v>
      </c>
      <c r="AY12" s="247">
        <f t="shared" si="2"/>
        <v>0</v>
      </c>
      <c r="AZ12" s="247">
        <f t="shared" si="2"/>
        <v>0</v>
      </c>
      <c r="BA12" s="247">
        <f t="shared" si="2"/>
        <v>0</v>
      </c>
      <c r="BB12" s="247">
        <f t="shared" si="2"/>
        <v>47659.962599999999</v>
      </c>
      <c r="BC12" s="247">
        <f t="shared" si="2"/>
        <v>222608.56590000002</v>
      </c>
      <c r="BD12" s="248">
        <f t="shared" si="2"/>
        <v>11983.129000000001</v>
      </c>
      <c r="BE12" s="247">
        <f t="shared" si="4"/>
        <v>0</v>
      </c>
      <c r="BF12" s="150">
        <f t="shared" si="5"/>
        <v>807238.57650000008</v>
      </c>
      <c r="BG12" s="86">
        <f t="shared" si="6"/>
        <v>11983.129000000001</v>
      </c>
      <c r="BI12" s="91" t="s">
        <v>492</v>
      </c>
      <c r="BJ12" s="92">
        <v>1351792.9666000002</v>
      </c>
      <c r="BK12" s="92">
        <v>3634004.1530999998</v>
      </c>
      <c r="BL12" s="92">
        <v>65039.577000000012</v>
      </c>
    </row>
    <row r="13" spans="1:64" ht="14.6">
      <c r="A13" s="44" t="str">
        <f t="shared" si="3"/>
        <v>7309F2016</v>
      </c>
      <c r="B13" s="44" t="str">
        <f>Data_Loss!X10</f>
        <v>7309F</v>
      </c>
      <c r="C13" s="289">
        <f>Data_Loss!E10</f>
        <v>2016</v>
      </c>
      <c r="D13" s="150">
        <f>+IFERROR(VLOOKUP($A13,Data_Loss!$A$2:$V$100,6,FALSE),0)</f>
        <v>0</v>
      </c>
      <c r="E13" s="150">
        <f>+IFERROR(VLOOKUP($A13,Data_Loss!$A$2:$V$100,7,FALSE),0)</f>
        <v>0</v>
      </c>
      <c r="F13" s="150">
        <f>+IFERROR(VLOOKUP($A13,Data_Loss!$A$2:$V$100,8,FALSE),0)</f>
        <v>1</v>
      </c>
      <c r="G13" s="150">
        <f>+IFERROR(VLOOKUP($A13,Data_Loss!$A$2:$V$100,9,FALSE),0)</f>
        <v>2</v>
      </c>
      <c r="H13" s="150">
        <f>+IFERROR(VLOOKUP($A13,Data_Loss!$A$2:$V$100,10,FALSE),0)</f>
        <v>4</v>
      </c>
      <c r="I13" s="150">
        <f>+IFERROR(VLOOKUP($A13,Data_Loss!$A$2:$V$100,12,FALSE),0)</f>
        <v>0</v>
      </c>
      <c r="J13" s="150">
        <f>+IFERROR(VLOOKUP($A13,Data_Loss!$A$2:$V$100,13,FALSE),0)</f>
        <v>0</v>
      </c>
      <c r="K13" s="150">
        <f>+IFERROR(VLOOKUP($A13,Data_Loss!$A$2:$V$100,14,FALSE),0)</f>
        <v>159870</v>
      </c>
      <c r="L13" s="150">
        <f>+IFERROR(VLOOKUP($A13,Data_Loss!$A$2:$V$100,15,FALSE),0)</f>
        <v>187648</v>
      </c>
      <c r="M13" s="150">
        <f>+IFERROR(VLOOKUP($A13,Data_Loss!$A$2:$V$100,16,FALSE),0)</f>
        <v>114932</v>
      </c>
      <c r="N13" s="150">
        <f>+IFERROR(VLOOKUP($A13,Data_Loss!$A$2:$V$100,17,FALSE),0)</f>
        <v>0</v>
      </c>
      <c r="O13" s="150">
        <f>+IFERROR(VLOOKUP($A13,Data_Loss!$A$2:$V$100,18,FALSE),0)</f>
        <v>0</v>
      </c>
      <c r="P13" s="150">
        <f>+IFERROR(VLOOKUP($A13,Data_Loss!$A$2:$V$100,19,FALSE),0)</f>
        <v>62098</v>
      </c>
      <c r="Q13" s="150">
        <f>+IFERROR(VLOOKUP($A13,Data_Loss!$A$2:$V$100,20,FALSE),0)</f>
        <v>66512</v>
      </c>
      <c r="R13" s="150">
        <f>+IFERROR(VLOOKUP($A13,Data_Loss!$A$2:$V$100,21,FALSE),0)</f>
        <v>107158</v>
      </c>
      <c r="S13" s="150">
        <f>+IFERROR(VLOOKUP($A13,Data_Loss!$A$2:$V$100,22,FALSE),0)</f>
        <v>7789</v>
      </c>
      <c r="T13" s="580" cm="1">
        <f t="array" ref="T13">MMULT($I13:$M13,_xlfn._xlws.FILTER('10k &amp; MO'!C$3:C$31,'10k &amp; MO'!$B$3:$B$31=$C13,"0"))</f>
        <v>0</v>
      </c>
      <c r="U13" s="247" cm="1">
        <f t="array" ref="U13">MMULT($I13:$M13,_xlfn._xlws.FILTER('10k &amp; MO'!D$3:D$31,'10k &amp; MO'!$B$3:$B$31=$C13,"0"))</f>
        <v>0</v>
      </c>
      <c r="V13" s="247" cm="1">
        <f t="array" ref="V13">MMULT($I13:$M13,_xlfn._xlws.FILTER('10k &amp; MO'!E$3:E$31,'10k &amp; MO'!$B$3:$B$31=$C13,"0"))</f>
        <v>295183.96799999999</v>
      </c>
      <c r="W13" s="247" cm="1">
        <f t="array" ref="W13">MMULT($I13:$M13,_xlfn._xlws.FILTER('10k &amp; MO'!F$3:F$31,'10k &amp; MO'!$B$3:$B$31=$C13,"0"))</f>
        <v>346473.2672</v>
      </c>
      <c r="X13" s="247" cm="1">
        <f t="array" ref="X13">MMULT($I13:$M13,_xlfn._xlws.FILTER('10k &amp; MO'!G$3:G$31,'10k &amp; MO'!$B$3:$B$31=$C13,"0"))</f>
        <v>212210.4448</v>
      </c>
      <c r="Y13" s="148" cm="1">
        <f t="array" ref="Y13">MMULT($N13:$R13,_xlfn._xlws.FILTER('10k &amp; MO'!H$3:H$31,'10k &amp; MO'!$B$3:$B$31=$C13,"0"))</f>
        <v>0</v>
      </c>
      <c r="Z13" s="247" cm="1">
        <f t="array" ref="Z13">MMULT($N13:$R13,_xlfn._xlws.FILTER('10k &amp; MO'!I$3:I$31,'10k &amp; MO'!$B$3:$B$31=$C13,"0"))</f>
        <v>0</v>
      </c>
      <c r="AA13" s="247" cm="1">
        <f t="array" ref="AA13">MMULT($N13:$R13,_xlfn._xlws.FILTER('10k &amp; MO'!J$3:J$31,'10k &amp; MO'!$B$3:$B$31=$C13,"0"))</f>
        <v>106131.6918</v>
      </c>
      <c r="AB13" s="247" cm="1">
        <f t="array" ref="AB13">MMULT($N13:$R13,_xlfn._xlws.FILTER('10k &amp; MO'!K$3:K$31,'10k &amp; MO'!$B$3:$B$31=$C13,"0"))</f>
        <v>113675.65920000001</v>
      </c>
      <c r="AC13" s="248" cm="1">
        <f t="array" ref="AC13">MMULT($N13:$R13,_xlfn._xlws.FILTER('10k &amp; MO'!L$3:L$31,'10k &amp; MO'!$B$3:$B$31=$C13,"0"))</f>
        <v>183143.7378</v>
      </c>
      <c r="AD13" s="248">
        <f>S13*_xlfn.XLOOKUP(C13,'10k &amp; MO'!$N$3:$N$7,'10k &amp; MO'!$O$3:$O$7)</f>
        <v>8980.7170000000006</v>
      </c>
      <c r="AF13" s="149" t="str">
        <f t="shared" si="0"/>
        <v>7309F2016</v>
      </c>
      <c r="AG13" s="149">
        <f>+IFERROR(VLOOKUP($AF13,'Limited Loss'!$F$5:$P$24,AG$3,FALSE),0)</f>
        <v>0</v>
      </c>
      <c r="AH13" s="150">
        <f>+IFERROR(VLOOKUP($AF13,'Limited Loss'!$F$5:$P$24,AH$3,FALSE),0)</f>
        <v>0</v>
      </c>
      <c r="AI13" s="150">
        <f>+IFERROR(VLOOKUP($AF13,'Limited Loss'!$F$5:$P$24,AI$3,FALSE),0)</f>
        <v>0</v>
      </c>
      <c r="AJ13" s="150">
        <f>+IFERROR(VLOOKUP($AF13,'Limited Loss'!$F$5:$P$24,AJ$3,FALSE),0)</f>
        <v>0</v>
      </c>
      <c r="AK13" s="86">
        <f>+IFERROR(VLOOKUP($AF13,'Limited Loss'!$F$5:$P$24,AK$3,FALSE),0)</f>
        <v>0</v>
      </c>
      <c r="AL13" s="150">
        <f>+IFERROR(VLOOKUP($AF13,'Limited Loss'!$F$5:$P$24,AL$3,FALSE),0)</f>
        <v>0</v>
      </c>
      <c r="AM13" s="150">
        <f>+IFERROR(VLOOKUP($AF13,'Limited Loss'!$F$5:$P$24,AM$3,FALSE),0)</f>
        <v>0</v>
      </c>
      <c r="AN13" s="150">
        <f>+IFERROR(VLOOKUP($AF13,'Limited Loss'!$F$5:$P$24,AN$3,FALSE),0)</f>
        <v>0</v>
      </c>
      <c r="AO13" s="150">
        <f>+IFERROR(VLOOKUP($AF13,'Limited Loss'!$F$5:$P$24,AO$3,FALSE),0)</f>
        <v>0</v>
      </c>
      <c r="AP13" s="86">
        <f>+IFERROR(VLOOKUP($AF13,'Limited Loss'!$F$5:$P$24,AP$3,FALSE),0)</f>
        <v>0</v>
      </c>
      <c r="AQ13" s="150"/>
      <c r="AR13" s="59" t="str">
        <f t="shared" si="1"/>
        <v>7309F</v>
      </c>
      <c r="AS13" s="188">
        <f t="shared" si="1"/>
        <v>2016</v>
      </c>
      <c r="AT13" s="247">
        <f t="shared" si="2"/>
        <v>0</v>
      </c>
      <c r="AU13" s="247">
        <f t="shared" si="2"/>
        <v>0</v>
      </c>
      <c r="AV13" s="247">
        <f t="shared" si="2"/>
        <v>295183.96799999999</v>
      </c>
      <c r="AW13" s="247">
        <f t="shared" si="2"/>
        <v>346473.2672</v>
      </c>
      <c r="AX13" s="248">
        <f t="shared" si="2"/>
        <v>212210.4448</v>
      </c>
      <c r="AY13" s="247">
        <f t="shared" si="2"/>
        <v>0</v>
      </c>
      <c r="AZ13" s="247">
        <f t="shared" si="2"/>
        <v>0</v>
      </c>
      <c r="BA13" s="247">
        <f t="shared" si="2"/>
        <v>106131.6918</v>
      </c>
      <c r="BB13" s="247">
        <f t="shared" si="2"/>
        <v>113675.65920000001</v>
      </c>
      <c r="BC13" s="247">
        <f t="shared" si="2"/>
        <v>183143.7378</v>
      </c>
      <c r="BD13" s="248">
        <f t="shared" si="2"/>
        <v>8980.7170000000006</v>
      </c>
      <c r="BE13" s="247">
        <f t="shared" si="4"/>
        <v>401315.65980000002</v>
      </c>
      <c r="BF13" s="150">
        <f t="shared" si="5"/>
        <v>855503.10900000005</v>
      </c>
      <c r="BG13" s="86">
        <f t="shared" si="6"/>
        <v>8980.7170000000006</v>
      </c>
      <c r="BI13" s="91" t="s">
        <v>493</v>
      </c>
      <c r="BJ13" s="92">
        <v>1984726.2708000001</v>
      </c>
      <c r="BK13" s="92">
        <v>2294400.4209000003</v>
      </c>
      <c r="BL13" s="92">
        <v>87278.641000000003</v>
      </c>
    </row>
    <row r="14" spans="1:64" ht="14.6">
      <c r="A14" s="44" t="str">
        <f t="shared" ref="A14:A21" si="7">+B14&amp;C14</f>
        <v>7313F2016</v>
      </c>
      <c r="B14" s="44" t="str">
        <f>Data_Loss!X11</f>
        <v>7313F</v>
      </c>
      <c r="C14" s="289">
        <f>Data_Loss!E11</f>
        <v>2016</v>
      </c>
      <c r="D14" s="150">
        <f>+IFERROR(VLOOKUP($A14,Data_Loss!$A$2:$V$100,6,FALSE),0)</f>
        <v>0</v>
      </c>
      <c r="E14" s="150">
        <f>+IFERROR(VLOOKUP($A14,Data_Loss!$A$2:$V$100,7,FALSE),0)</f>
        <v>0</v>
      </c>
      <c r="F14" s="150">
        <f>+IFERROR(VLOOKUP($A14,Data_Loss!$A$2:$V$100,8,FALSE),0)</f>
        <v>0</v>
      </c>
      <c r="G14" s="150">
        <f>+IFERROR(VLOOKUP($A14,Data_Loss!$A$2:$V$100,9,FALSE),0)</f>
        <v>0</v>
      </c>
      <c r="H14" s="150">
        <f>+IFERROR(VLOOKUP($A14,Data_Loss!$A$2:$V$100,10,FALSE),0)</f>
        <v>2</v>
      </c>
      <c r="I14" s="150">
        <f>+IFERROR(VLOOKUP($A14,Data_Loss!$A$2:$V$100,12,FALSE),0)</f>
        <v>0</v>
      </c>
      <c r="J14" s="150">
        <f>+IFERROR(VLOOKUP($A14,Data_Loss!$A$2:$V$100,13,FALSE),0)</f>
        <v>0</v>
      </c>
      <c r="K14" s="150">
        <f>+IFERROR(VLOOKUP($A14,Data_Loss!$A$2:$V$100,14,FALSE),0)</f>
        <v>0</v>
      </c>
      <c r="L14" s="150">
        <f>+IFERROR(VLOOKUP($A14,Data_Loss!$A$2:$V$100,15,FALSE),0)</f>
        <v>0</v>
      </c>
      <c r="M14" s="150">
        <f>+IFERROR(VLOOKUP($A14,Data_Loss!$A$2:$V$100,16,FALSE),0)</f>
        <v>8887</v>
      </c>
      <c r="N14" s="150">
        <f>+IFERROR(VLOOKUP($A14,Data_Loss!$A$2:$V$100,17,FALSE),0)</f>
        <v>0</v>
      </c>
      <c r="O14" s="150">
        <f>+IFERROR(VLOOKUP($A14,Data_Loss!$A$2:$V$100,18,FALSE),0)</f>
        <v>0</v>
      </c>
      <c r="P14" s="150">
        <f>+IFERROR(VLOOKUP($A14,Data_Loss!$A$2:$V$100,19,FALSE),0)</f>
        <v>0</v>
      </c>
      <c r="Q14" s="150">
        <f>+IFERROR(VLOOKUP($A14,Data_Loss!$A$2:$V$100,20,FALSE),0)</f>
        <v>0</v>
      </c>
      <c r="R14" s="150">
        <f>+IFERROR(VLOOKUP($A14,Data_Loss!$A$2:$V$100,21,FALSE),0)</f>
        <v>33715</v>
      </c>
      <c r="S14" s="150">
        <f>+IFERROR(VLOOKUP($A14,Data_Loss!$A$2:$V$100,22,FALSE),0)</f>
        <v>11719</v>
      </c>
      <c r="T14" s="580" cm="1">
        <f t="array" ref="T14">MMULT($I14:$M14,_xlfn._xlws.FILTER('10k &amp; MO'!C$3:C$31,'10k &amp; MO'!$B$3:$B$31=$C14,"0"))</f>
        <v>0</v>
      </c>
      <c r="U14" s="247" cm="1">
        <f t="array" ref="U14">MMULT($I14:$M14,_xlfn._xlws.FILTER('10k &amp; MO'!D$3:D$31,'10k &amp; MO'!$B$3:$B$31=$C14,"0"))</f>
        <v>0</v>
      </c>
      <c r="V14" s="247" cm="1">
        <f t="array" ref="V14">MMULT($I14:$M14,_xlfn._xlws.FILTER('10k &amp; MO'!E$3:E$31,'10k &amp; MO'!$B$3:$B$31=$C14,"0"))</f>
        <v>0</v>
      </c>
      <c r="W14" s="247" cm="1">
        <f t="array" ref="W14">MMULT($I14:$M14,_xlfn._xlws.FILTER('10k &amp; MO'!F$3:F$31,'10k &amp; MO'!$B$3:$B$31=$C14,"0"))</f>
        <v>0</v>
      </c>
      <c r="X14" s="247" cm="1">
        <f t="array" ref="X14">MMULT($I14:$M14,_xlfn._xlws.FILTER('10k &amp; MO'!G$3:G$31,'10k &amp; MO'!$B$3:$B$31=$C14,"0"))</f>
        <v>16408.9568</v>
      </c>
      <c r="Y14" s="148" cm="1">
        <f t="array" ref="Y14">MMULT($N14:$R14,_xlfn._xlws.FILTER('10k &amp; MO'!H$3:H$31,'10k &amp; MO'!$B$3:$B$31=$C14,"0"))</f>
        <v>0</v>
      </c>
      <c r="Z14" s="247" cm="1">
        <f t="array" ref="Z14">MMULT($N14:$R14,_xlfn._xlws.FILTER('10k &amp; MO'!I$3:I$31,'10k &amp; MO'!$B$3:$B$31=$C14,"0"))</f>
        <v>0</v>
      </c>
      <c r="AA14" s="247" cm="1">
        <f t="array" ref="AA14">MMULT($N14:$R14,_xlfn._xlws.FILTER('10k &amp; MO'!J$3:J$31,'10k &amp; MO'!$B$3:$B$31=$C14,"0"))</f>
        <v>0</v>
      </c>
      <c r="AB14" s="247" cm="1">
        <f t="array" ref="AB14">MMULT($N14:$R14,_xlfn._xlws.FILTER('10k &amp; MO'!K$3:K$31,'10k &amp; MO'!$B$3:$B$31=$C14,"0"))</f>
        <v>0</v>
      </c>
      <c r="AC14" s="248" cm="1">
        <f t="array" ref="AC14">MMULT($N14:$R14,_xlfn._xlws.FILTER('10k &amp; MO'!L$3:L$31,'10k &amp; MO'!$B$3:$B$31=$C14,"0"))</f>
        <v>57622.306499999999</v>
      </c>
      <c r="AD14" s="248">
        <f>S14*_xlfn.XLOOKUP(C14,'10k &amp; MO'!$N$3:$N$7,'10k &amp; MO'!$O$3:$O$7)</f>
        <v>13512.007</v>
      </c>
      <c r="AF14" s="149" t="str">
        <f t="shared" ref="AF14:AF21" si="8">+B14&amp;C14</f>
        <v>7313F2016</v>
      </c>
      <c r="AG14" s="149">
        <f>+IFERROR(VLOOKUP($AF14,'Limited Loss'!$F$5:$P$24,AG$3,FALSE),0)</f>
        <v>0</v>
      </c>
      <c r="AH14" s="150">
        <f>+IFERROR(VLOOKUP($AF14,'Limited Loss'!$F$5:$P$24,AH$3,FALSE),0)</f>
        <v>0</v>
      </c>
      <c r="AI14" s="150">
        <f>+IFERROR(VLOOKUP($AF14,'Limited Loss'!$F$5:$P$24,AI$3,FALSE),0)</f>
        <v>0</v>
      </c>
      <c r="AJ14" s="150">
        <f>+IFERROR(VLOOKUP($AF14,'Limited Loss'!$F$5:$P$24,AJ$3,FALSE),0)</f>
        <v>0</v>
      </c>
      <c r="AK14" s="86">
        <f>+IFERROR(VLOOKUP($AF14,'Limited Loss'!$F$5:$P$24,AK$3,FALSE),0)</f>
        <v>0</v>
      </c>
      <c r="AL14" s="150">
        <f>+IFERROR(VLOOKUP($AF14,'Limited Loss'!$F$5:$P$24,AL$3,FALSE),0)</f>
        <v>0</v>
      </c>
      <c r="AM14" s="150">
        <f>+IFERROR(VLOOKUP($AF14,'Limited Loss'!$F$5:$P$24,AM$3,FALSE),0)</f>
        <v>0</v>
      </c>
      <c r="AN14" s="150">
        <f>+IFERROR(VLOOKUP($AF14,'Limited Loss'!$F$5:$P$24,AN$3,FALSE),0)</f>
        <v>0</v>
      </c>
      <c r="AO14" s="150">
        <f>+IFERROR(VLOOKUP($AF14,'Limited Loss'!$F$5:$P$24,AO$3,FALSE),0)</f>
        <v>0</v>
      </c>
      <c r="AP14" s="86">
        <f>+IFERROR(VLOOKUP($AF14,'Limited Loss'!$F$5:$P$24,AP$3,FALSE),0)</f>
        <v>0</v>
      </c>
      <c r="AQ14" s="150"/>
      <c r="AR14" s="59" t="str">
        <f t="shared" ref="AR14:AR21" si="9">+B14</f>
        <v>7313F</v>
      </c>
      <c r="AS14" s="188">
        <f t="shared" ref="AS14:AS21" si="10">+C14</f>
        <v>2016</v>
      </c>
      <c r="AT14" s="247">
        <f t="shared" ref="AT14:AT21" si="11">+T14-AG14</f>
        <v>0</v>
      </c>
      <c r="AU14" s="247">
        <f t="shared" ref="AU14:AU21" si="12">+U14-AH14</f>
        <v>0</v>
      </c>
      <c r="AV14" s="247">
        <f t="shared" ref="AV14:AV21" si="13">+V14-AI14</f>
        <v>0</v>
      </c>
      <c r="AW14" s="247">
        <f t="shared" ref="AW14:AW21" si="14">+W14-AJ14</f>
        <v>0</v>
      </c>
      <c r="AX14" s="248">
        <f t="shared" ref="AX14:AX21" si="15">+X14-AK14</f>
        <v>16408.9568</v>
      </c>
      <c r="AY14" s="247">
        <f t="shared" ref="AY14:AY21" si="16">+Y14-AL14</f>
        <v>0</v>
      </c>
      <c r="AZ14" s="247">
        <f t="shared" ref="AZ14:AZ21" si="17">+Z14-AM14</f>
        <v>0</v>
      </c>
      <c r="BA14" s="247">
        <f t="shared" ref="BA14:BA21" si="18">+AA14-AN14</f>
        <v>0</v>
      </c>
      <c r="BB14" s="247">
        <f t="shared" ref="BB14:BB21" si="19">+AB14-AO14</f>
        <v>0</v>
      </c>
      <c r="BC14" s="247">
        <f t="shared" ref="BC14:BC21" si="20">+AC14-AP14</f>
        <v>57622.306499999999</v>
      </c>
      <c r="BD14" s="248">
        <f t="shared" ref="BD14:BD21" si="21">+AD14-AQ14</f>
        <v>13512.007</v>
      </c>
      <c r="BE14" s="247">
        <f t="shared" ref="BE14:BE21" si="22">+AT14+AU14+AV14+AY14+AZ14+BA14</f>
        <v>0</v>
      </c>
      <c r="BF14" s="150">
        <f t="shared" ref="BF14:BF21" si="23">+AW14+AX14+BB14+BC14</f>
        <v>74031.263299999991</v>
      </c>
      <c r="BG14" s="86">
        <f t="shared" ref="BG14:BG21" si="24">+BD14</f>
        <v>13512.007</v>
      </c>
      <c r="BI14" s="91" t="s">
        <v>494</v>
      </c>
      <c r="BJ14" s="92">
        <v>1198780.9068</v>
      </c>
      <c r="BK14" s="92">
        <v>369049.93210000003</v>
      </c>
      <c r="BL14" s="92">
        <v>25161.919000000002</v>
      </c>
    </row>
    <row r="15" spans="1:64" ht="14.6">
      <c r="A15" s="44" t="str">
        <f t="shared" si="7"/>
        <v>7317F2016</v>
      </c>
      <c r="B15" s="44" t="str">
        <f>Data_Loss!X12</f>
        <v>7317F</v>
      </c>
      <c r="C15" s="289">
        <f>Data_Loss!E12</f>
        <v>2016</v>
      </c>
      <c r="D15" s="150">
        <f>+IFERROR(VLOOKUP($A15,Data_Loss!$A$2:$V$100,6,FALSE),0)</f>
        <v>0</v>
      </c>
      <c r="E15" s="150">
        <f>+IFERROR(VLOOKUP($A15,Data_Loss!$A$2:$V$100,7,FALSE),0)</f>
        <v>0</v>
      </c>
      <c r="F15" s="150">
        <f>+IFERROR(VLOOKUP($A15,Data_Loss!$A$2:$V$100,8,FALSE),0)</f>
        <v>0</v>
      </c>
      <c r="G15" s="150">
        <f>+IFERROR(VLOOKUP($A15,Data_Loss!$A$2:$V$100,9,FALSE),0)</f>
        <v>0</v>
      </c>
      <c r="H15" s="150">
        <f>+IFERROR(VLOOKUP($A15,Data_Loss!$A$2:$V$100,10,FALSE),0)</f>
        <v>0</v>
      </c>
      <c r="I15" s="150">
        <f>+IFERROR(VLOOKUP($A15,Data_Loss!$A$2:$V$100,12,FALSE),0)</f>
        <v>0</v>
      </c>
      <c r="J15" s="150">
        <f>+IFERROR(VLOOKUP($A15,Data_Loss!$A$2:$V$100,13,FALSE),0)</f>
        <v>0</v>
      </c>
      <c r="K15" s="150">
        <f>+IFERROR(VLOOKUP($A15,Data_Loss!$A$2:$V$100,14,FALSE),0)</f>
        <v>0</v>
      </c>
      <c r="L15" s="150">
        <f>+IFERROR(VLOOKUP($A15,Data_Loss!$A$2:$V$100,15,FALSE),0)</f>
        <v>0</v>
      </c>
      <c r="M15" s="150">
        <f>+IFERROR(VLOOKUP($A15,Data_Loss!$A$2:$V$100,16,FALSE),0)</f>
        <v>0</v>
      </c>
      <c r="N15" s="150">
        <f>+IFERROR(VLOOKUP($A15,Data_Loss!$A$2:$V$100,17,FALSE),0)</f>
        <v>0</v>
      </c>
      <c r="O15" s="150">
        <f>+IFERROR(VLOOKUP($A15,Data_Loss!$A$2:$V$100,18,FALSE),0)</f>
        <v>0</v>
      </c>
      <c r="P15" s="150">
        <f>+IFERROR(VLOOKUP($A15,Data_Loss!$A$2:$V$100,19,FALSE),0)</f>
        <v>0</v>
      </c>
      <c r="Q15" s="150">
        <f>+IFERROR(VLOOKUP($A15,Data_Loss!$A$2:$V$100,20,FALSE),0)</f>
        <v>0</v>
      </c>
      <c r="R15" s="150">
        <f>+IFERROR(VLOOKUP($A15,Data_Loss!$A$2:$V$100,21,FALSE),0)</f>
        <v>0</v>
      </c>
      <c r="S15" s="150">
        <f>+IFERROR(VLOOKUP($A15,Data_Loss!$A$2:$V$100,22,FALSE),0)</f>
        <v>1173</v>
      </c>
      <c r="T15" s="580" cm="1">
        <f t="array" ref="T15">MMULT($I15:$M15,_xlfn._xlws.FILTER('10k &amp; MO'!C$3:C$31,'10k &amp; MO'!$B$3:$B$31=$C15,"0"))</f>
        <v>0</v>
      </c>
      <c r="U15" s="247" cm="1">
        <f t="array" ref="U15">MMULT($I15:$M15,_xlfn._xlws.FILTER('10k &amp; MO'!D$3:D$31,'10k &amp; MO'!$B$3:$B$31=$C15,"0"))</f>
        <v>0</v>
      </c>
      <c r="V15" s="247" cm="1">
        <f t="array" ref="V15">MMULT($I15:$M15,_xlfn._xlws.FILTER('10k &amp; MO'!E$3:E$31,'10k &amp; MO'!$B$3:$B$31=$C15,"0"))</f>
        <v>0</v>
      </c>
      <c r="W15" s="247" cm="1">
        <f t="array" ref="W15">MMULT($I15:$M15,_xlfn._xlws.FILTER('10k &amp; MO'!F$3:F$31,'10k &amp; MO'!$B$3:$B$31=$C15,"0"))</f>
        <v>0</v>
      </c>
      <c r="X15" s="247" cm="1">
        <f t="array" ref="X15">MMULT($I15:$M15,_xlfn._xlws.FILTER('10k &amp; MO'!G$3:G$31,'10k &amp; MO'!$B$3:$B$31=$C15,"0"))</f>
        <v>0</v>
      </c>
      <c r="Y15" s="148" cm="1">
        <f t="array" ref="Y15">MMULT($N15:$R15,_xlfn._xlws.FILTER('10k &amp; MO'!H$3:H$31,'10k &amp; MO'!$B$3:$B$31=$C15,"0"))</f>
        <v>0</v>
      </c>
      <c r="Z15" s="247" cm="1">
        <f t="array" ref="Z15">MMULT($N15:$R15,_xlfn._xlws.FILTER('10k &amp; MO'!I$3:I$31,'10k &amp; MO'!$B$3:$B$31=$C15,"0"))</f>
        <v>0</v>
      </c>
      <c r="AA15" s="247" cm="1">
        <f t="array" ref="AA15">MMULT($N15:$R15,_xlfn._xlws.FILTER('10k &amp; MO'!J$3:J$31,'10k &amp; MO'!$B$3:$B$31=$C15,"0"))</f>
        <v>0</v>
      </c>
      <c r="AB15" s="247" cm="1">
        <f t="array" ref="AB15">MMULT($N15:$R15,_xlfn._xlws.FILTER('10k &amp; MO'!K$3:K$31,'10k &amp; MO'!$B$3:$B$31=$C15,"0"))</f>
        <v>0</v>
      </c>
      <c r="AC15" s="248" cm="1">
        <f t="array" ref="AC15">MMULT($N15:$R15,_xlfn._xlws.FILTER('10k &amp; MO'!L$3:L$31,'10k &amp; MO'!$B$3:$B$31=$C15,"0"))</f>
        <v>0</v>
      </c>
      <c r="AD15" s="248">
        <f>S15*_xlfn.XLOOKUP(C15,'10k &amp; MO'!$N$3:$N$7,'10k &amp; MO'!$O$3:$O$7)</f>
        <v>1352.4690000000001</v>
      </c>
      <c r="AF15" s="149" t="str">
        <f t="shared" si="8"/>
        <v>7317F2016</v>
      </c>
      <c r="AG15" s="149">
        <f>+IFERROR(VLOOKUP($AF15,'Limited Loss'!$F$5:$P$24,AG$3,FALSE),0)</f>
        <v>0</v>
      </c>
      <c r="AH15" s="150">
        <f>+IFERROR(VLOOKUP($AF15,'Limited Loss'!$F$5:$P$24,AH$3,FALSE),0)</f>
        <v>0</v>
      </c>
      <c r="AI15" s="150">
        <f>+IFERROR(VLOOKUP($AF15,'Limited Loss'!$F$5:$P$24,AI$3,FALSE),0)</f>
        <v>0</v>
      </c>
      <c r="AJ15" s="150">
        <f>+IFERROR(VLOOKUP($AF15,'Limited Loss'!$F$5:$P$24,AJ$3,FALSE),0)</f>
        <v>0</v>
      </c>
      <c r="AK15" s="86">
        <f>+IFERROR(VLOOKUP($AF15,'Limited Loss'!$F$5:$P$24,AK$3,FALSE),0)</f>
        <v>0</v>
      </c>
      <c r="AL15" s="150">
        <f>+IFERROR(VLOOKUP($AF15,'Limited Loss'!$F$5:$P$24,AL$3,FALSE),0)</f>
        <v>0</v>
      </c>
      <c r="AM15" s="150">
        <f>+IFERROR(VLOOKUP($AF15,'Limited Loss'!$F$5:$P$24,AM$3,FALSE),0)</f>
        <v>0</v>
      </c>
      <c r="AN15" s="150">
        <f>+IFERROR(VLOOKUP($AF15,'Limited Loss'!$F$5:$P$24,AN$3,FALSE),0)</f>
        <v>0</v>
      </c>
      <c r="AO15" s="150">
        <f>+IFERROR(VLOOKUP($AF15,'Limited Loss'!$F$5:$P$24,AO$3,FALSE),0)</f>
        <v>0</v>
      </c>
      <c r="AP15" s="86">
        <f>+IFERROR(VLOOKUP($AF15,'Limited Loss'!$F$5:$P$24,AP$3,FALSE),0)</f>
        <v>0</v>
      </c>
      <c r="AQ15" s="150"/>
      <c r="AR15" s="59" t="str">
        <f t="shared" si="9"/>
        <v>7317F</v>
      </c>
      <c r="AS15" s="188">
        <f t="shared" si="10"/>
        <v>2016</v>
      </c>
      <c r="AT15" s="247">
        <f t="shared" si="11"/>
        <v>0</v>
      </c>
      <c r="AU15" s="247">
        <f t="shared" si="12"/>
        <v>0</v>
      </c>
      <c r="AV15" s="247">
        <f t="shared" si="13"/>
        <v>0</v>
      </c>
      <c r="AW15" s="247">
        <f t="shared" si="14"/>
        <v>0</v>
      </c>
      <c r="AX15" s="248">
        <f t="shared" si="15"/>
        <v>0</v>
      </c>
      <c r="AY15" s="247">
        <f t="shared" si="16"/>
        <v>0</v>
      </c>
      <c r="AZ15" s="247">
        <f t="shared" si="17"/>
        <v>0</v>
      </c>
      <c r="BA15" s="247">
        <f t="shared" si="18"/>
        <v>0</v>
      </c>
      <c r="BB15" s="247">
        <f t="shared" si="19"/>
        <v>0</v>
      </c>
      <c r="BC15" s="247">
        <f t="shared" si="20"/>
        <v>0</v>
      </c>
      <c r="BD15" s="248">
        <f t="shared" si="21"/>
        <v>1352.4690000000001</v>
      </c>
      <c r="BE15" s="247">
        <f t="shared" si="22"/>
        <v>0</v>
      </c>
      <c r="BF15" s="150">
        <f t="shared" si="23"/>
        <v>0</v>
      </c>
      <c r="BG15" s="86">
        <f t="shared" si="24"/>
        <v>1352.4690000000001</v>
      </c>
      <c r="BI15" s="91" t="s">
        <v>534</v>
      </c>
      <c r="BJ15" s="92"/>
      <c r="BK15" s="92"/>
      <c r="BL15" s="92"/>
    </row>
    <row r="16" spans="1:64" ht="14.6">
      <c r="A16" s="44" t="str">
        <f t="shared" si="7"/>
        <v>7327F2016</v>
      </c>
      <c r="B16" s="44" t="str">
        <f>Data_Loss!X13</f>
        <v>7327F</v>
      </c>
      <c r="C16" s="289">
        <f>Data_Loss!E13</f>
        <v>2016</v>
      </c>
      <c r="D16" s="150">
        <f>+IFERROR(VLOOKUP($A16,Data_Loss!$A$2:$V$100,6,FALSE),0)</f>
        <v>0</v>
      </c>
      <c r="E16" s="150">
        <f>+IFERROR(VLOOKUP($A16,Data_Loss!$A$2:$V$100,7,FALSE),0)</f>
        <v>0</v>
      </c>
      <c r="F16" s="150">
        <f>+IFERROR(VLOOKUP($A16,Data_Loss!$A$2:$V$100,8,FALSE),0)</f>
        <v>1</v>
      </c>
      <c r="G16" s="150">
        <f>+IFERROR(VLOOKUP($A16,Data_Loss!$A$2:$V$100,9,FALSE),0)</f>
        <v>2</v>
      </c>
      <c r="H16" s="150">
        <f>+IFERROR(VLOOKUP($A16,Data_Loss!$A$2:$V$100,10,FALSE),0)</f>
        <v>17</v>
      </c>
      <c r="I16" s="150">
        <f>+IFERROR(VLOOKUP($A16,Data_Loss!$A$2:$V$100,12,FALSE),0)</f>
        <v>0</v>
      </c>
      <c r="J16" s="150">
        <f>+IFERROR(VLOOKUP($A16,Data_Loss!$A$2:$V$100,13,FALSE),0)</f>
        <v>0</v>
      </c>
      <c r="K16" s="150">
        <f>+IFERROR(VLOOKUP($A16,Data_Loss!$A$2:$V$100,14,FALSE),0)</f>
        <v>299929</v>
      </c>
      <c r="L16" s="150">
        <f>+IFERROR(VLOOKUP($A16,Data_Loss!$A$2:$V$100,15,FALSE),0)</f>
        <v>74470</v>
      </c>
      <c r="M16" s="150">
        <f>+IFERROR(VLOOKUP($A16,Data_Loss!$A$2:$V$100,16,FALSE),0)</f>
        <v>466320</v>
      </c>
      <c r="N16" s="150">
        <f>+IFERROR(VLOOKUP($A16,Data_Loss!$A$2:$V$100,17,FALSE),0)</f>
        <v>0</v>
      </c>
      <c r="O16" s="150">
        <f>+IFERROR(VLOOKUP($A16,Data_Loss!$A$2:$V$100,18,FALSE),0)</f>
        <v>0</v>
      </c>
      <c r="P16" s="150">
        <f>+IFERROR(VLOOKUP($A16,Data_Loss!$A$2:$V$100,19,FALSE),0)</f>
        <v>40972</v>
      </c>
      <c r="Q16" s="150">
        <f>+IFERROR(VLOOKUP($A16,Data_Loss!$A$2:$V$100,20,FALSE),0)</f>
        <v>19492</v>
      </c>
      <c r="R16" s="150">
        <f>+IFERROR(VLOOKUP($A16,Data_Loss!$A$2:$V$100,21,FALSE),0)</f>
        <v>139467</v>
      </c>
      <c r="S16" s="150">
        <f>+IFERROR(VLOOKUP($A16,Data_Loss!$A$2:$V$100,22,FALSE),0)</f>
        <v>13059</v>
      </c>
      <c r="T16" s="580" cm="1">
        <f t="array" ref="T16">MMULT($I16:$M16,_xlfn._xlws.FILTER('10k &amp; MO'!C$3:C$31,'10k &amp; MO'!$B$3:$B$31=$C16,"0"))</f>
        <v>0</v>
      </c>
      <c r="U16" s="247" cm="1">
        <f t="array" ref="U16">MMULT($I16:$M16,_xlfn._xlws.FILTER('10k &amp; MO'!D$3:D$31,'10k &amp; MO'!$B$3:$B$31=$C16,"0"))</f>
        <v>0</v>
      </c>
      <c r="V16" s="247" cm="1">
        <f t="array" ref="V16">MMULT($I16:$M16,_xlfn._xlws.FILTER('10k &amp; MO'!E$3:E$31,'10k &amp; MO'!$B$3:$B$31=$C16,"0"))</f>
        <v>553788.90560000006</v>
      </c>
      <c r="W16" s="247" cm="1">
        <f t="array" ref="W16">MMULT($I16:$M16,_xlfn._xlws.FILTER('10k &amp; MO'!F$3:F$31,'10k &amp; MO'!$B$3:$B$31=$C16,"0"))</f>
        <v>137501.408</v>
      </c>
      <c r="X16" s="247" cm="1">
        <f t="array" ref="X16">MMULT($I16:$M16,_xlfn._xlws.FILTER('10k &amp; MO'!G$3:G$31,'10k &amp; MO'!$B$3:$B$31=$C16,"0"))</f>
        <v>861013.24800000002</v>
      </c>
      <c r="Y16" s="148" cm="1">
        <f t="array" ref="Y16">MMULT($N16:$R16,_xlfn._xlws.FILTER('10k &amp; MO'!H$3:H$31,'10k &amp; MO'!$B$3:$B$31=$C16,"0"))</f>
        <v>0</v>
      </c>
      <c r="Z16" s="247" cm="1">
        <f t="array" ref="Z16">MMULT($N16:$R16,_xlfn._xlws.FILTER('10k &amp; MO'!I$3:I$31,'10k &amp; MO'!$B$3:$B$31=$C16,"0"))</f>
        <v>0</v>
      </c>
      <c r="AA16" s="247" cm="1">
        <f t="array" ref="AA16">MMULT($N16:$R16,_xlfn._xlws.FILTER('10k &amp; MO'!J$3:J$31,'10k &amp; MO'!$B$3:$B$31=$C16,"0"))</f>
        <v>70025.245200000005</v>
      </c>
      <c r="AB16" s="247" cm="1">
        <f t="array" ref="AB16">MMULT($N16:$R16,_xlfn._xlws.FILTER('10k &amp; MO'!K$3:K$31,'10k &amp; MO'!$B$3:$B$31=$C16,"0"))</f>
        <v>33313.777200000004</v>
      </c>
      <c r="AC16" s="248" cm="1">
        <f t="array" ref="AC16">MMULT($N16:$R16,_xlfn._xlws.FILTER('10k &amp; MO'!L$3:L$31,'10k &amp; MO'!$B$3:$B$31=$C16,"0"))</f>
        <v>238363.0497</v>
      </c>
      <c r="AD16" s="248">
        <f>S16*_xlfn.XLOOKUP(C16,'10k &amp; MO'!$N$3:$N$7,'10k &amp; MO'!$O$3:$O$7)</f>
        <v>15057.027</v>
      </c>
      <c r="AF16" s="149" t="str">
        <f t="shared" si="8"/>
        <v>7327F2016</v>
      </c>
      <c r="AG16" s="149">
        <f>+IFERROR(VLOOKUP($AF16,'Limited Loss'!$F$5:$P$24,AG$3,FALSE),0)</f>
        <v>0</v>
      </c>
      <c r="AH16" s="150">
        <f>+IFERROR(VLOOKUP($AF16,'Limited Loss'!$F$5:$P$24,AH$3,FALSE),0)</f>
        <v>0</v>
      </c>
      <c r="AI16" s="150">
        <f>+IFERROR(VLOOKUP($AF16,'Limited Loss'!$F$5:$P$24,AI$3,FALSE),0)</f>
        <v>0</v>
      </c>
      <c r="AJ16" s="150">
        <f>+IFERROR(VLOOKUP($AF16,'Limited Loss'!$F$5:$P$24,AJ$3,FALSE),0)</f>
        <v>0</v>
      </c>
      <c r="AK16" s="86">
        <f>+IFERROR(VLOOKUP($AF16,'Limited Loss'!$F$5:$P$24,AK$3,FALSE),0)</f>
        <v>0</v>
      </c>
      <c r="AL16" s="150">
        <f>+IFERROR(VLOOKUP($AF16,'Limited Loss'!$F$5:$P$24,AL$3,FALSE),0)</f>
        <v>0</v>
      </c>
      <c r="AM16" s="150">
        <f>+IFERROR(VLOOKUP($AF16,'Limited Loss'!$F$5:$P$24,AM$3,FALSE),0)</f>
        <v>0</v>
      </c>
      <c r="AN16" s="150">
        <f>+IFERROR(VLOOKUP($AF16,'Limited Loss'!$F$5:$P$24,AN$3,FALSE),0)</f>
        <v>0</v>
      </c>
      <c r="AO16" s="150">
        <f>+IFERROR(VLOOKUP($AF16,'Limited Loss'!$F$5:$P$24,AO$3,FALSE),0)</f>
        <v>0</v>
      </c>
      <c r="AP16" s="86">
        <f>+IFERROR(VLOOKUP($AF16,'Limited Loss'!$F$5:$P$24,AP$3,FALSE),0)</f>
        <v>0</v>
      </c>
      <c r="AQ16" s="150"/>
      <c r="AR16" s="59" t="str">
        <f t="shared" si="9"/>
        <v>7327F</v>
      </c>
      <c r="AS16" s="188">
        <f t="shared" si="10"/>
        <v>2016</v>
      </c>
      <c r="AT16" s="247">
        <f t="shared" si="11"/>
        <v>0</v>
      </c>
      <c r="AU16" s="247">
        <f t="shared" si="12"/>
        <v>0</v>
      </c>
      <c r="AV16" s="247">
        <f t="shared" si="13"/>
        <v>553788.90560000006</v>
      </c>
      <c r="AW16" s="247">
        <f t="shared" si="14"/>
        <v>137501.408</v>
      </c>
      <c r="AX16" s="248">
        <f t="shared" si="15"/>
        <v>861013.24800000002</v>
      </c>
      <c r="AY16" s="247">
        <f t="shared" si="16"/>
        <v>0</v>
      </c>
      <c r="AZ16" s="247">
        <f t="shared" si="17"/>
        <v>0</v>
      </c>
      <c r="BA16" s="247">
        <f t="shared" si="18"/>
        <v>70025.245200000005</v>
      </c>
      <c r="BB16" s="247">
        <f t="shared" si="19"/>
        <v>33313.777200000004</v>
      </c>
      <c r="BC16" s="247">
        <f t="shared" si="20"/>
        <v>238363.0497</v>
      </c>
      <c r="BD16" s="248">
        <f t="shared" si="21"/>
        <v>15057.027</v>
      </c>
      <c r="BE16" s="247">
        <f t="shared" si="22"/>
        <v>623814.15080000006</v>
      </c>
      <c r="BF16" s="150">
        <f t="shared" si="23"/>
        <v>1270191.4828999999</v>
      </c>
      <c r="BG16" s="86">
        <f t="shared" si="24"/>
        <v>15057.027</v>
      </c>
      <c r="BI16" s="91" t="s">
        <v>158</v>
      </c>
      <c r="BJ16" s="92">
        <v>10443798.2666</v>
      </c>
      <c r="BK16" s="92">
        <v>11917504.1609</v>
      </c>
      <c r="BL16" s="92">
        <v>271235.179</v>
      </c>
    </row>
    <row r="17" spans="1:64" ht="14.6">
      <c r="A17" s="44" t="str">
        <f t="shared" si="7"/>
        <v>7366F2016</v>
      </c>
      <c r="B17" s="44" t="str">
        <f>Data_Loss!X14</f>
        <v>7366F</v>
      </c>
      <c r="C17" s="289">
        <f>Data_Loss!E14</f>
        <v>2016</v>
      </c>
      <c r="D17" s="150">
        <f>+IFERROR(VLOOKUP($A17,Data_Loss!$A$2:$V$100,6,FALSE),0)</f>
        <v>0</v>
      </c>
      <c r="E17" s="150">
        <f>+IFERROR(VLOOKUP($A17,Data_Loss!$A$2:$V$100,7,FALSE),0)</f>
        <v>0</v>
      </c>
      <c r="F17" s="150">
        <f>+IFERROR(VLOOKUP($A17,Data_Loss!$A$2:$V$100,8,FALSE),0)</f>
        <v>0</v>
      </c>
      <c r="G17" s="150">
        <f>+IFERROR(VLOOKUP($A17,Data_Loss!$A$2:$V$100,9,FALSE),0)</f>
        <v>2</v>
      </c>
      <c r="H17" s="150">
        <f>+IFERROR(VLOOKUP($A17,Data_Loss!$A$2:$V$100,10,FALSE),0)</f>
        <v>1</v>
      </c>
      <c r="I17" s="150">
        <f>+IFERROR(VLOOKUP($A17,Data_Loss!$A$2:$V$100,12,FALSE),0)</f>
        <v>0</v>
      </c>
      <c r="J17" s="150">
        <f>+IFERROR(VLOOKUP($A17,Data_Loss!$A$2:$V$100,13,FALSE),0)</f>
        <v>0</v>
      </c>
      <c r="K17" s="150">
        <f>+IFERROR(VLOOKUP($A17,Data_Loss!$A$2:$V$100,14,FALSE),0)</f>
        <v>0</v>
      </c>
      <c r="L17" s="150">
        <f>+IFERROR(VLOOKUP($A17,Data_Loss!$A$2:$V$100,15,FALSE),0)</f>
        <v>54355</v>
      </c>
      <c r="M17" s="150">
        <f>+IFERROR(VLOOKUP($A17,Data_Loss!$A$2:$V$100,16,FALSE),0)</f>
        <v>6921</v>
      </c>
      <c r="N17" s="150">
        <f>+IFERROR(VLOOKUP($A17,Data_Loss!$A$2:$V$100,17,FALSE),0)</f>
        <v>0</v>
      </c>
      <c r="O17" s="150">
        <f>+IFERROR(VLOOKUP($A17,Data_Loss!$A$2:$V$100,18,FALSE),0)</f>
        <v>0</v>
      </c>
      <c r="P17" s="150">
        <f>+IFERROR(VLOOKUP($A17,Data_Loss!$A$2:$V$100,19,FALSE),0)</f>
        <v>0</v>
      </c>
      <c r="Q17" s="150">
        <f>+IFERROR(VLOOKUP($A17,Data_Loss!$A$2:$V$100,20,FALSE),0)</f>
        <v>11700</v>
      </c>
      <c r="R17" s="150">
        <f>+IFERROR(VLOOKUP($A17,Data_Loss!$A$2:$V$100,21,FALSE),0)</f>
        <v>22655</v>
      </c>
      <c r="S17" s="150">
        <f>+IFERROR(VLOOKUP($A17,Data_Loss!$A$2:$V$100,22,FALSE),0)</f>
        <v>35095</v>
      </c>
      <c r="T17" s="580" cm="1">
        <f t="array" ref="T17">MMULT($I17:$M17,_xlfn._xlws.FILTER('10k &amp; MO'!C$3:C$31,'10k &amp; MO'!$B$3:$B$31=$C17,"0"))</f>
        <v>0</v>
      </c>
      <c r="U17" s="247" cm="1">
        <f t="array" ref="U17">MMULT($I17:$M17,_xlfn._xlws.FILTER('10k &amp; MO'!D$3:D$31,'10k &amp; MO'!$B$3:$B$31=$C17,"0"))</f>
        <v>0</v>
      </c>
      <c r="V17" s="247" cm="1">
        <f t="array" ref="V17">MMULT($I17:$M17,_xlfn._xlws.FILTER('10k &amp; MO'!E$3:E$31,'10k &amp; MO'!$B$3:$B$31=$C17,"0"))</f>
        <v>0</v>
      </c>
      <c r="W17" s="247" cm="1">
        <f t="array" ref="W17">MMULT($I17:$M17,_xlfn._xlws.FILTER('10k &amp; MO'!F$3:F$31,'10k &amp; MO'!$B$3:$B$31=$C17,"0"))</f>
        <v>100361.072</v>
      </c>
      <c r="X17" s="247" cm="1">
        <f t="array" ref="X17">MMULT($I17:$M17,_xlfn._xlws.FILTER('10k &amp; MO'!G$3:G$31,'10k &amp; MO'!$B$3:$B$31=$C17,"0"))</f>
        <v>12778.9344</v>
      </c>
      <c r="Y17" s="148" cm="1">
        <f t="array" ref="Y17">MMULT($N17:$R17,_xlfn._xlws.FILTER('10k &amp; MO'!H$3:H$31,'10k &amp; MO'!$B$3:$B$31=$C17,"0"))</f>
        <v>0</v>
      </c>
      <c r="Z17" s="247" cm="1">
        <f t="array" ref="Z17">MMULT($N17:$R17,_xlfn._xlws.FILTER('10k &amp; MO'!I$3:I$31,'10k &amp; MO'!$B$3:$B$31=$C17,"0"))</f>
        <v>0</v>
      </c>
      <c r="AA17" s="247" cm="1">
        <f t="array" ref="AA17">MMULT($N17:$R17,_xlfn._xlws.FILTER('10k &amp; MO'!J$3:J$31,'10k &amp; MO'!$B$3:$B$31=$C17,"0"))</f>
        <v>0</v>
      </c>
      <c r="AB17" s="247" cm="1">
        <f t="array" ref="AB17">MMULT($N17:$R17,_xlfn._xlws.FILTER('10k &amp; MO'!K$3:K$31,'10k &amp; MO'!$B$3:$B$31=$C17,"0"))</f>
        <v>19996.47</v>
      </c>
      <c r="AC17" s="248" cm="1">
        <f t="array" ref="AC17">MMULT($N17:$R17,_xlfn._xlws.FILTER('10k &amp; MO'!L$3:L$31,'10k &amp; MO'!$B$3:$B$31=$C17,"0"))</f>
        <v>38719.660499999998</v>
      </c>
      <c r="AD17" s="248">
        <f>S17*_xlfn.XLOOKUP(C17,'10k &amp; MO'!$N$3:$N$7,'10k &amp; MO'!$O$3:$O$7)</f>
        <v>40464.535000000003</v>
      </c>
      <c r="AF17" s="149" t="str">
        <f t="shared" si="8"/>
        <v>7366F2016</v>
      </c>
      <c r="AG17" s="149">
        <f>+IFERROR(VLOOKUP($AF17,'Limited Loss'!$F$5:$P$24,AG$3,FALSE),0)</f>
        <v>0</v>
      </c>
      <c r="AH17" s="150">
        <f>+IFERROR(VLOOKUP($AF17,'Limited Loss'!$F$5:$P$24,AH$3,FALSE),0)</f>
        <v>0</v>
      </c>
      <c r="AI17" s="150">
        <f>+IFERROR(VLOOKUP($AF17,'Limited Loss'!$F$5:$P$24,AI$3,FALSE),0)</f>
        <v>0</v>
      </c>
      <c r="AJ17" s="150">
        <f>+IFERROR(VLOOKUP($AF17,'Limited Loss'!$F$5:$P$24,AJ$3,FALSE),0)</f>
        <v>0</v>
      </c>
      <c r="AK17" s="86">
        <f>+IFERROR(VLOOKUP($AF17,'Limited Loss'!$F$5:$P$24,AK$3,FALSE),0)</f>
        <v>0</v>
      </c>
      <c r="AL17" s="150">
        <f>+IFERROR(VLOOKUP($AF17,'Limited Loss'!$F$5:$P$24,AL$3,FALSE),0)</f>
        <v>0</v>
      </c>
      <c r="AM17" s="150">
        <f>+IFERROR(VLOOKUP($AF17,'Limited Loss'!$F$5:$P$24,AM$3,FALSE),0)</f>
        <v>0</v>
      </c>
      <c r="AN17" s="150">
        <f>+IFERROR(VLOOKUP($AF17,'Limited Loss'!$F$5:$P$24,AN$3,FALSE),0)</f>
        <v>0</v>
      </c>
      <c r="AO17" s="150">
        <f>+IFERROR(VLOOKUP($AF17,'Limited Loss'!$F$5:$P$24,AO$3,FALSE),0)</f>
        <v>0</v>
      </c>
      <c r="AP17" s="86">
        <f>+IFERROR(VLOOKUP($AF17,'Limited Loss'!$F$5:$P$24,AP$3,FALSE),0)</f>
        <v>0</v>
      </c>
      <c r="AQ17" s="150"/>
      <c r="AR17" s="59" t="str">
        <f t="shared" si="9"/>
        <v>7366F</v>
      </c>
      <c r="AS17" s="188">
        <f t="shared" si="10"/>
        <v>2016</v>
      </c>
      <c r="AT17" s="247">
        <f t="shared" si="11"/>
        <v>0</v>
      </c>
      <c r="AU17" s="247">
        <f t="shared" si="12"/>
        <v>0</v>
      </c>
      <c r="AV17" s="247">
        <f t="shared" si="13"/>
        <v>0</v>
      </c>
      <c r="AW17" s="247">
        <f t="shared" si="14"/>
        <v>100361.072</v>
      </c>
      <c r="AX17" s="248">
        <f t="shared" si="15"/>
        <v>12778.9344</v>
      </c>
      <c r="AY17" s="247">
        <f t="shared" si="16"/>
        <v>0</v>
      </c>
      <c r="AZ17" s="247">
        <f t="shared" si="17"/>
        <v>0</v>
      </c>
      <c r="BA17" s="247">
        <f t="shared" si="18"/>
        <v>0</v>
      </c>
      <c r="BB17" s="247">
        <f t="shared" si="19"/>
        <v>19996.47</v>
      </c>
      <c r="BC17" s="247">
        <f t="shared" si="20"/>
        <v>38719.660499999998</v>
      </c>
      <c r="BD17" s="248">
        <f t="shared" si="21"/>
        <v>40464.535000000003</v>
      </c>
      <c r="BE17" s="247">
        <f t="shared" si="22"/>
        <v>0</v>
      </c>
      <c r="BF17" s="150">
        <f t="shared" si="23"/>
        <v>171856.13689999998</v>
      </c>
      <c r="BG17" s="86">
        <f t="shared" si="24"/>
        <v>40464.535000000003</v>
      </c>
      <c r="BI17"/>
      <c r="BJ17"/>
      <c r="BK17"/>
      <c r="BL17"/>
    </row>
    <row r="18" spans="1:64" ht="14.6">
      <c r="A18" s="44" t="str">
        <f t="shared" si="7"/>
        <v>8709F2016</v>
      </c>
      <c r="B18" s="44" t="str">
        <f>Data_Loss!X15</f>
        <v>8709F</v>
      </c>
      <c r="C18" s="289">
        <f>Data_Loss!E15</f>
        <v>2016</v>
      </c>
      <c r="D18" s="150">
        <f>+IFERROR(VLOOKUP($A18,Data_Loss!$A$2:$V$100,6,FALSE),0)</f>
        <v>0</v>
      </c>
      <c r="E18" s="150">
        <f>+IFERROR(VLOOKUP($A18,Data_Loss!$A$2:$V$100,7,FALSE),0)</f>
        <v>0</v>
      </c>
      <c r="F18" s="150">
        <f>+IFERROR(VLOOKUP($A18,Data_Loss!$A$2:$V$100,8,FALSE),0)</f>
        <v>0</v>
      </c>
      <c r="G18" s="150">
        <f>+IFERROR(VLOOKUP($A18,Data_Loss!$A$2:$V$100,9,FALSE),0)</f>
        <v>0</v>
      </c>
      <c r="H18" s="150">
        <f>+IFERROR(VLOOKUP($A18,Data_Loss!$A$2:$V$100,10,FALSE),0)</f>
        <v>2</v>
      </c>
      <c r="I18" s="150">
        <f>+IFERROR(VLOOKUP($A18,Data_Loss!$A$2:$V$100,12,FALSE),0)</f>
        <v>0</v>
      </c>
      <c r="J18" s="150">
        <f>+IFERROR(VLOOKUP($A18,Data_Loss!$A$2:$V$100,13,FALSE),0)</f>
        <v>0</v>
      </c>
      <c r="K18" s="150">
        <f>+IFERROR(VLOOKUP($A18,Data_Loss!$A$2:$V$100,14,FALSE),0)</f>
        <v>0</v>
      </c>
      <c r="L18" s="150">
        <f>+IFERROR(VLOOKUP($A18,Data_Loss!$A$2:$V$100,15,FALSE),0)</f>
        <v>0</v>
      </c>
      <c r="M18" s="150">
        <f>+IFERROR(VLOOKUP($A18,Data_Loss!$A$2:$V$100,16,FALSE),0)</f>
        <v>49265</v>
      </c>
      <c r="N18" s="150">
        <f>+IFERROR(VLOOKUP($A18,Data_Loss!$A$2:$V$100,17,FALSE),0)</f>
        <v>0</v>
      </c>
      <c r="O18" s="150">
        <f>+IFERROR(VLOOKUP($A18,Data_Loss!$A$2:$V$100,18,FALSE),0)</f>
        <v>0</v>
      </c>
      <c r="P18" s="150">
        <f>+IFERROR(VLOOKUP($A18,Data_Loss!$A$2:$V$100,19,FALSE),0)</f>
        <v>0</v>
      </c>
      <c r="Q18" s="150">
        <f>+IFERROR(VLOOKUP($A18,Data_Loss!$A$2:$V$100,20,FALSE),0)</f>
        <v>0</v>
      </c>
      <c r="R18" s="150">
        <f>+IFERROR(VLOOKUP($A18,Data_Loss!$A$2:$V$100,21,FALSE),0)</f>
        <v>20127</v>
      </c>
      <c r="S18" s="150">
        <f>+IFERROR(VLOOKUP($A18,Data_Loss!$A$2:$V$100,22,FALSE),0)</f>
        <v>2564</v>
      </c>
      <c r="T18" s="580" cm="1">
        <f t="array" ref="T18">MMULT($I18:$M18,_xlfn._xlws.FILTER('10k &amp; MO'!C$3:C$31,'10k &amp; MO'!$B$3:$B$31=$C18,"0"))</f>
        <v>0</v>
      </c>
      <c r="U18" s="247" cm="1">
        <f t="array" ref="U18">MMULT($I18:$M18,_xlfn._xlws.FILTER('10k &amp; MO'!D$3:D$31,'10k &amp; MO'!$B$3:$B$31=$C18,"0"))</f>
        <v>0</v>
      </c>
      <c r="V18" s="247" cm="1">
        <f t="array" ref="V18">MMULT($I18:$M18,_xlfn._xlws.FILTER('10k &amp; MO'!E$3:E$31,'10k &amp; MO'!$B$3:$B$31=$C18,"0"))</f>
        <v>0</v>
      </c>
      <c r="W18" s="247" cm="1">
        <f t="array" ref="W18">MMULT($I18:$M18,_xlfn._xlws.FILTER('10k &amp; MO'!F$3:F$31,'10k &amp; MO'!$B$3:$B$31=$C18,"0"))</f>
        <v>0</v>
      </c>
      <c r="X18" s="247" cm="1">
        <f t="array" ref="X18">MMULT($I18:$M18,_xlfn._xlws.FILTER('10k &amp; MO'!G$3:G$31,'10k &amp; MO'!$B$3:$B$31=$C18,"0"))</f>
        <v>90962.896000000008</v>
      </c>
      <c r="Y18" s="148" cm="1">
        <f t="array" ref="Y18">MMULT($N18:$R18,_xlfn._xlws.FILTER('10k &amp; MO'!H$3:H$31,'10k &amp; MO'!$B$3:$B$31=$C18,"0"))</f>
        <v>0</v>
      </c>
      <c r="Z18" s="247" cm="1">
        <f t="array" ref="Z18">MMULT($N18:$R18,_xlfn._xlws.FILTER('10k &amp; MO'!I$3:I$31,'10k &amp; MO'!$B$3:$B$31=$C18,"0"))</f>
        <v>0</v>
      </c>
      <c r="AA18" s="247" cm="1">
        <f t="array" ref="AA18">MMULT($N18:$R18,_xlfn._xlws.FILTER('10k &amp; MO'!J$3:J$31,'10k &amp; MO'!$B$3:$B$31=$C18,"0"))</f>
        <v>0</v>
      </c>
      <c r="AB18" s="247" cm="1">
        <f t="array" ref="AB18">MMULT($N18:$R18,_xlfn._xlws.FILTER('10k &amp; MO'!K$3:K$31,'10k &amp; MO'!$B$3:$B$31=$C18,"0"))</f>
        <v>0</v>
      </c>
      <c r="AC18" s="248" cm="1">
        <f t="array" ref="AC18">MMULT($N18:$R18,_xlfn._xlws.FILTER('10k &amp; MO'!L$3:L$31,'10k &amp; MO'!$B$3:$B$31=$C18,"0"))</f>
        <v>34399.055700000004</v>
      </c>
      <c r="AD18" s="248">
        <f>S18*_xlfn.XLOOKUP(C18,'10k &amp; MO'!$N$3:$N$7,'10k &amp; MO'!$O$3:$O$7)</f>
        <v>2956.2919999999999</v>
      </c>
      <c r="AF18" s="149" t="str">
        <f t="shared" si="8"/>
        <v>8709F2016</v>
      </c>
      <c r="AG18" s="149">
        <f>+IFERROR(VLOOKUP($AF18,'Limited Loss'!$F$5:$P$24,AG$3,FALSE),0)</f>
        <v>0</v>
      </c>
      <c r="AH18" s="150">
        <f>+IFERROR(VLOOKUP($AF18,'Limited Loss'!$F$5:$P$24,AH$3,FALSE),0)</f>
        <v>0</v>
      </c>
      <c r="AI18" s="150">
        <f>+IFERROR(VLOOKUP($AF18,'Limited Loss'!$F$5:$P$24,AI$3,FALSE),0)</f>
        <v>0</v>
      </c>
      <c r="AJ18" s="150">
        <f>+IFERROR(VLOOKUP($AF18,'Limited Loss'!$F$5:$P$24,AJ$3,FALSE),0)</f>
        <v>0</v>
      </c>
      <c r="AK18" s="86">
        <f>+IFERROR(VLOOKUP($AF18,'Limited Loss'!$F$5:$P$24,AK$3,FALSE),0)</f>
        <v>0</v>
      </c>
      <c r="AL18" s="150">
        <f>+IFERROR(VLOOKUP($AF18,'Limited Loss'!$F$5:$P$24,AL$3,FALSE),0)</f>
        <v>0</v>
      </c>
      <c r="AM18" s="150">
        <f>+IFERROR(VLOOKUP($AF18,'Limited Loss'!$F$5:$P$24,AM$3,FALSE),0)</f>
        <v>0</v>
      </c>
      <c r="AN18" s="150">
        <f>+IFERROR(VLOOKUP($AF18,'Limited Loss'!$F$5:$P$24,AN$3,FALSE),0)</f>
        <v>0</v>
      </c>
      <c r="AO18" s="150">
        <f>+IFERROR(VLOOKUP($AF18,'Limited Loss'!$F$5:$P$24,AO$3,FALSE),0)</f>
        <v>0</v>
      </c>
      <c r="AP18" s="86">
        <f>+IFERROR(VLOOKUP($AF18,'Limited Loss'!$F$5:$P$24,AP$3,FALSE),0)</f>
        <v>0</v>
      </c>
      <c r="AQ18" s="150"/>
      <c r="AR18" s="59" t="str">
        <f t="shared" si="9"/>
        <v>8709F</v>
      </c>
      <c r="AS18" s="188">
        <f t="shared" si="10"/>
        <v>2016</v>
      </c>
      <c r="AT18" s="247">
        <f t="shared" si="11"/>
        <v>0</v>
      </c>
      <c r="AU18" s="247">
        <f t="shared" si="12"/>
        <v>0</v>
      </c>
      <c r="AV18" s="247">
        <f t="shared" si="13"/>
        <v>0</v>
      </c>
      <c r="AW18" s="247">
        <f t="shared" si="14"/>
        <v>0</v>
      </c>
      <c r="AX18" s="248">
        <f t="shared" si="15"/>
        <v>90962.896000000008</v>
      </c>
      <c r="AY18" s="247">
        <f t="shared" si="16"/>
        <v>0</v>
      </c>
      <c r="AZ18" s="247">
        <f t="shared" si="17"/>
        <v>0</v>
      </c>
      <c r="BA18" s="247">
        <f t="shared" si="18"/>
        <v>0</v>
      </c>
      <c r="BB18" s="247">
        <f t="shared" si="19"/>
        <v>0</v>
      </c>
      <c r="BC18" s="247">
        <f t="shared" si="20"/>
        <v>34399.055700000004</v>
      </c>
      <c r="BD18" s="248">
        <f t="shared" si="21"/>
        <v>2956.2919999999999</v>
      </c>
      <c r="BE18" s="247">
        <f t="shared" si="22"/>
        <v>0</v>
      </c>
      <c r="BF18" s="150">
        <f t="shared" si="23"/>
        <v>125361.95170000001</v>
      </c>
      <c r="BG18" s="86">
        <f t="shared" si="24"/>
        <v>2956.2919999999999</v>
      </c>
      <c r="BI18"/>
      <c r="BJ18"/>
      <c r="BK18"/>
      <c r="BL18"/>
    </row>
    <row r="19" spans="1:64" ht="14.6">
      <c r="A19" s="44" t="str">
        <f t="shared" si="7"/>
        <v>6843F2017</v>
      </c>
      <c r="B19" s="44" t="str">
        <f>Data_Loss!X16</f>
        <v>6843F</v>
      </c>
      <c r="C19" s="289">
        <f>Data_Loss!E16</f>
        <v>2017</v>
      </c>
      <c r="D19" s="150">
        <f>+IFERROR(VLOOKUP($A19,Data_Loss!$A$2:$V$100,6,FALSE),0)</f>
        <v>0</v>
      </c>
      <c r="E19" s="150">
        <f>+IFERROR(VLOOKUP($A19,Data_Loss!$A$2:$V$100,7,FALSE),0)</f>
        <v>0</v>
      </c>
      <c r="F19" s="150">
        <f>+IFERROR(VLOOKUP($A19,Data_Loss!$A$2:$V$100,8,FALSE),0)</f>
        <v>2</v>
      </c>
      <c r="G19" s="150">
        <f>+IFERROR(VLOOKUP($A19,Data_Loss!$A$2:$V$100,9,FALSE),0)</f>
        <v>0</v>
      </c>
      <c r="H19" s="150">
        <f>+IFERROR(VLOOKUP($A19,Data_Loss!$A$2:$V$100,10,FALSE),0)</f>
        <v>4</v>
      </c>
      <c r="I19" s="150">
        <f>+IFERROR(VLOOKUP($A19,Data_Loss!$A$2:$V$100,12,FALSE),0)</f>
        <v>0</v>
      </c>
      <c r="J19" s="150">
        <f>+IFERROR(VLOOKUP($A19,Data_Loss!$A$2:$V$100,13,FALSE),0)</f>
        <v>0</v>
      </c>
      <c r="K19" s="150">
        <f>+IFERROR(VLOOKUP($A19,Data_Loss!$A$2:$V$100,14,FALSE),0)</f>
        <v>730144</v>
      </c>
      <c r="L19" s="150">
        <f>+IFERROR(VLOOKUP($A19,Data_Loss!$A$2:$V$100,15,FALSE),0)</f>
        <v>0</v>
      </c>
      <c r="M19" s="150">
        <f>+IFERROR(VLOOKUP($A19,Data_Loss!$A$2:$V$100,16,FALSE),0)</f>
        <v>34655</v>
      </c>
      <c r="N19" s="150">
        <f>+IFERROR(VLOOKUP($A19,Data_Loss!$A$2:$V$100,17,FALSE),0)</f>
        <v>0</v>
      </c>
      <c r="O19" s="150">
        <f>+IFERROR(VLOOKUP($A19,Data_Loss!$A$2:$V$100,18,FALSE),0)</f>
        <v>0</v>
      </c>
      <c r="P19" s="150">
        <f>+IFERROR(VLOOKUP($A19,Data_Loss!$A$2:$V$100,19,FALSE),0)</f>
        <v>544822</v>
      </c>
      <c r="Q19" s="150">
        <f>+IFERROR(VLOOKUP($A19,Data_Loss!$A$2:$V$100,20,FALSE),0)</f>
        <v>0</v>
      </c>
      <c r="R19" s="150">
        <f>+IFERROR(VLOOKUP($A19,Data_Loss!$A$2:$V$100,21,FALSE),0)</f>
        <v>18061</v>
      </c>
      <c r="S19" s="150">
        <f>+IFERROR(VLOOKUP($A19,Data_Loss!$A$2:$V$100,22,FALSE),0)</f>
        <v>4811</v>
      </c>
      <c r="T19" s="580" cm="1">
        <f t="array" ref="T19">MMULT($I19:$M19,_xlfn._xlws.FILTER('10k &amp; MO'!C$3:C$31,'10k &amp; MO'!$B$3:$B$31=$C19,"0"))</f>
        <v>0</v>
      </c>
      <c r="U19" s="247" cm="1">
        <f t="array" ref="U19">MMULT($I19:$M19,_xlfn._xlws.FILTER('10k &amp; MO'!D$3:D$31,'10k &amp; MO'!$B$3:$B$31=$C19,"0"))</f>
        <v>0</v>
      </c>
      <c r="V19" s="247" cm="1">
        <f t="array" ref="V19">MMULT($I19:$M19,_xlfn._xlws.FILTER('10k &amp; MO'!E$3:E$31,'10k &amp; MO'!$B$3:$B$31=$C19,"0"))</f>
        <v>1457075.3663999999</v>
      </c>
      <c r="W19" s="247" cm="1">
        <f t="array" ref="W19">MMULT($I19:$M19,_xlfn._xlws.FILTER('10k &amp; MO'!F$3:F$31,'10k &amp; MO'!$B$3:$B$31=$C19,"0"))</f>
        <v>0</v>
      </c>
      <c r="X19" s="247" cm="1">
        <f t="array" ref="X19">MMULT($I19:$M19,_xlfn._xlws.FILTER('10k &amp; MO'!G$3:G$31,'10k &amp; MO'!$B$3:$B$31=$C19,"0"))</f>
        <v>69157.517999999996</v>
      </c>
      <c r="Y19" s="148" cm="1">
        <f t="array" ref="Y19">MMULT($N19:$R19,_xlfn._xlws.FILTER('10k &amp; MO'!H$3:H$31,'10k &amp; MO'!$B$3:$B$31=$C19,"0"))</f>
        <v>0</v>
      </c>
      <c r="Z19" s="247" cm="1">
        <f t="array" ref="Z19">MMULT($N19:$R19,_xlfn._xlws.FILTER('10k &amp; MO'!I$3:I$31,'10k &amp; MO'!$B$3:$B$31=$C19,"0"))</f>
        <v>0</v>
      </c>
      <c r="AA19" s="247" cm="1">
        <f t="array" ref="AA19">MMULT($N19:$R19,_xlfn._xlws.FILTER('10k &amp; MO'!J$3:J$31,'10k &amp; MO'!$B$3:$B$31=$C19,"0"))</f>
        <v>982096.1372</v>
      </c>
      <c r="AB19" s="247" cm="1">
        <f t="array" ref="AB19">MMULT($N19:$R19,_xlfn._xlws.FILTER('10k &amp; MO'!K$3:K$31,'10k &amp; MO'!$B$3:$B$31=$C19,"0"))</f>
        <v>0</v>
      </c>
      <c r="AC19" s="248" cm="1">
        <f t="array" ref="AC19">MMULT($N19:$R19,_xlfn._xlws.FILTER('10k &amp; MO'!L$3:L$31,'10k &amp; MO'!$B$3:$B$31=$C19,"0"))</f>
        <v>32556.758600000001</v>
      </c>
      <c r="AD19" s="248">
        <f>S19*_xlfn.XLOOKUP(C19,'10k &amp; MO'!$N$3:$N$7,'10k &amp; MO'!$O$3:$O$7)</f>
        <v>5547.0830000000005</v>
      </c>
      <c r="AF19" s="149" t="str">
        <f t="shared" si="8"/>
        <v>6843F2017</v>
      </c>
      <c r="AG19" s="149">
        <f>+IFERROR(VLOOKUP($AF19,'Limited Loss'!$F$5:$P$24,AG$3,FALSE),0)</f>
        <v>0</v>
      </c>
      <c r="AH19" s="150">
        <f>+IFERROR(VLOOKUP($AF19,'Limited Loss'!$F$5:$P$24,AH$3,FALSE),0)</f>
        <v>0</v>
      </c>
      <c r="AI19" s="150">
        <f>+IFERROR(VLOOKUP($AF19,'Limited Loss'!$F$5:$P$24,AI$3,FALSE),0)</f>
        <v>252605</v>
      </c>
      <c r="AJ19" s="150">
        <f>+IFERROR(VLOOKUP($AF19,'Limited Loss'!$F$5:$P$24,AJ$3,FALSE),0)</f>
        <v>0</v>
      </c>
      <c r="AK19" s="86">
        <f>+IFERROR(VLOOKUP($AF19,'Limited Loss'!$F$5:$P$24,AK$3,FALSE),0)</f>
        <v>0</v>
      </c>
      <c r="AL19" s="150">
        <f>+IFERROR(VLOOKUP($AF19,'Limited Loss'!$F$5:$P$24,AL$3,FALSE),0)</f>
        <v>0</v>
      </c>
      <c r="AM19" s="150">
        <f>+IFERROR(VLOOKUP($AF19,'Limited Loss'!$F$5:$P$24,AM$3,FALSE),0)</f>
        <v>0</v>
      </c>
      <c r="AN19" s="150">
        <f>+IFERROR(VLOOKUP($AF19,'Limited Loss'!$F$5:$P$24,AN$3,FALSE),0)</f>
        <v>251819</v>
      </c>
      <c r="AO19" s="150">
        <f>+IFERROR(VLOOKUP($AF19,'Limited Loss'!$F$5:$P$24,AO$3,FALSE),0)</f>
        <v>0</v>
      </c>
      <c r="AP19" s="86">
        <f>+IFERROR(VLOOKUP($AF19,'Limited Loss'!$F$5:$P$24,AP$3,FALSE),0)</f>
        <v>0</v>
      </c>
      <c r="AQ19" s="150"/>
      <c r="AR19" s="59" t="str">
        <f t="shared" si="9"/>
        <v>6843F</v>
      </c>
      <c r="AS19" s="188">
        <f t="shared" si="10"/>
        <v>2017</v>
      </c>
      <c r="AT19" s="247">
        <f t="shared" si="11"/>
        <v>0</v>
      </c>
      <c r="AU19" s="247">
        <f t="shared" si="12"/>
        <v>0</v>
      </c>
      <c r="AV19" s="247">
        <f>+V19-AI19</f>
        <v>1204470.3663999999</v>
      </c>
      <c r="AW19" s="247">
        <f t="shared" si="14"/>
        <v>0</v>
      </c>
      <c r="AX19" s="248">
        <f t="shared" si="15"/>
        <v>69157.517999999996</v>
      </c>
      <c r="AY19" s="247">
        <f t="shared" si="16"/>
        <v>0</v>
      </c>
      <c r="AZ19" s="247">
        <f t="shared" si="17"/>
        <v>0</v>
      </c>
      <c r="BA19" s="247">
        <f t="shared" si="18"/>
        <v>730277.1372</v>
      </c>
      <c r="BB19" s="247">
        <f t="shared" si="19"/>
        <v>0</v>
      </c>
      <c r="BC19" s="247">
        <f t="shared" si="20"/>
        <v>32556.758600000001</v>
      </c>
      <c r="BD19" s="248">
        <f t="shared" si="21"/>
        <v>5547.0830000000005</v>
      </c>
      <c r="BE19" s="247">
        <f t="shared" si="22"/>
        <v>1934747.5035999999</v>
      </c>
      <c r="BF19" s="150">
        <f t="shared" si="23"/>
        <v>101714.2766</v>
      </c>
      <c r="BG19" s="86">
        <f t="shared" si="24"/>
        <v>5547.0830000000005</v>
      </c>
      <c r="BI19"/>
      <c r="BJ19"/>
      <c r="BK19"/>
      <c r="BL19"/>
    </row>
    <row r="20" spans="1:64" ht="14.6">
      <c r="A20" s="44" t="str">
        <f t="shared" si="7"/>
        <v>6872F2017</v>
      </c>
      <c r="B20" s="44" t="str">
        <f>Data_Loss!X17</f>
        <v>6872F</v>
      </c>
      <c r="C20" s="289">
        <f>Data_Loss!E17</f>
        <v>2017</v>
      </c>
      <c r="D20" s="150">
        <f>+IFERROR(VLOOKUP($A20,Data_Loss!$A$2:$V$100,6,FALSE),0)</f>
        <v>0</v>
      </c>
      <c r="E20" s="150">
        <f>+IFERROR(VLOOKUP($A20,Data_Loss!$A$2:$V$100,7,FALSE),0)</f>
        <v>0</v>
      </c>
      <c r="F20" s="150">
        <f>+IFERROR(VLOOKUP($A20,Data_Loss!$A$2:$V$100,8,FALSE),0)</f>
        <v>0</v>
      </c>
      <c r="G20" s="150">
        <f>+IFERROR(VLOOKUP($A20,Data_Loss!$A$2:$V$100,9,FALSE),0)</f>
        <v>0</v>
      </c>
      <c r="H20" s="150">
        <f>+IFERROR(VLOOKUP($A20,Data_Loss!$A$2:$V$100,10,FALSE),0)</f>
        <v>1</v>
      </c>
      <c r="I20" s="150">
        <f>+IFERROR(VLOOKUP($A20,Data_Loss!$A$2:$V$100,12,FALSE),0)</f>
        <v>0</v>
      </c>
      <c r="J20" s="150">
        <f>+IFERROR(VLOOKUP($A20,Data_Loss!$A$2:$V$100,13,FALSE),0)</f>
        <v>0</v>
      </c>
      <c r="K20" s="150">
        <f>+IFERROR(VLOOKUP($A20,Data_Loss!$A$2:$V$100,14,FALSE),0)</f>
        <v>0</v>
      </c>
      <c r="L20" s="150">
        <f>+IFERROR(VLOOKUP($A20,Data_Loss!$A$2:$V$100,15,FALSE),0)</f>
        <v>0</v>
      </c>
      <c r="M20" s="150">
        <f>+IFERROR(VLOOKUP($A20,Data_Loss!$A$2:$V$100,16,FALSE),0)</f>
        <v>2944</v>
      </c>
      <c r="N20" s="150">
        <f>+IFERROR(VLOOKUP($A20,Data_Loss!$A$2:$V$100,17,FALSE),0)</f>
        <v>0</v>
      </c>
      <c r="O20" s="150">
        <f>+IFERROR(VLOOKUP($A20,Data_Loss!$A$2:$V$100,18,FALSE),0)</f>
        <v>0</v>
      </c>
      <c r="P20" s="150">
        <f>+IFERROR(VLOOKUP($A20,Data_Loss!$A$2:$V$100,19,FALSE),0)</f>
        <v>0</v>
      </c>
      <c r="Q20" s="150">
        <f>+IFERROR(VLOOKUP($A20,Data_Loss!$A$2:$V$100,20,FALSE),0)</f>
        <v>0</v>
      </c>
      <c r="R20" s="150">
        <f>+IFERROR(VLOOKUP($A20,Data_Loss!$A$2:$V$100,21,FALSE),0)</f>
        <v>13535</v>
      </c>
      <c r="S20" s="150">
        <f>+IFERROR(VLOOKUP($A20,Data_Loss!$A$2:$V$100,22,FALSE),0)</f>
        <v>0</v>
      </c>
      <c r="T20" s="580" cm="1">
        <f t="array" ref="T20">MMULT($I20:$M20,_xlfn._xlws.FILTER('10k &amp; MO'!C$3:C$31,'10k &amp; MO'!$B$3:$B$31=$C20,"0"))</f>
        <v>0</v>
      </c>
      <c r="U20" s="247" cm="1">
        <f t="array" ref="U20">MMULT($I20:$M20,_xlfn._xlws.FILTER('10k &amp; MO'!D$3:D$31,'10k &amp; MO'!$B$3:$B$31=$C20,"0"))</f>
        <v>0</v>
      </c>
      <c r="V20" s="247" cm="1">
        <f t="array" ref="V20">MMULT($I20:$M20,_xlfn._xlws.FILTER('10k &amp; MO'!E$3:E$31,'10k &amp; MO'!$B$3:$B$31=$C20,"0"))</f>
        <v>0</v>
      </c>
      <c r="W20" s="247" cm="1">
        <f t="array" ref="W20">MMULT($I20:$M20,_xlfn._xlws.FILTER('10k &amp; MO'!F$3:F$31,'10k &amp; MO'!$B$3:$B$31=$C20,"0"))</f>
        <v>0</v>
      </c>
      <c r="X20" s="247" cm="1">
        <f t="array" ref="X20">MMULT($I20:$M20,_xlfn._xlws.FILTER('10k &amp; MO'!G$3:G$31,'10k &amp; MO'!$B$3:$B$31=$C20,"0"))</f>
        <v>5875.0464000000002</v>
      </c>
      <c r="Y20" s="148" cm="1">
        <f t="array" ref="Y20">MMULT($N20:$R20,_xlfn._xlws.FILTER('10k &amp; MO'!H$3:H$31,'10k &amp; MO'!$B$3:$B$31=$C20,"0"))</f>
        <v>0</v>
      </c>
      <c r="Z20" s="247" cm="1">
        <f t="array" ref="Z20">MMULT($N20:$R20,_xlfn._xlws.FILTER('10k &amp; MO'!I$3:I$31,'10k &amp; MO'!$B$3:$B$31=$C20,"0"))</f>
        <v>0</v>
      </c>
      <c r="AA20" s="247" cm="1">
        <f t="array" ref="AA20">MMULT($N20:$R20,_xlfn._xlws.FILTER('10k &amp; MO'!J$3:J$31,'10k &amp; MO'!$B$3:$B$31=$C20,"0"))</f>
        <v>0</v>
      </c>
      <c r="AB20" s="247" cm="1">
        <f t="array" ref="AB20">MMULT($N20:$R20,_xlfn._xlws.FILTER('10k &amp; MO'!K$3:K$31,'10k &amp; MO'!$B$3:$B$31=$C20,"0"))</f>
        <v>0</v>
      </c>
      <c r="AC20" s="248" cm="1">
        <f t="array" ref="AC20">MMULT($N20:$R20,_xlfn._xlws.FILTER('10k &amp; MO'!L$3:L$31,'10k &amp; MO'!$B$3:$B$31=$C20,"0"))</f>
        <v>24398.190999999999</v>
      </c>
      <c r="AD20" s="248">
        <f>S20*_xlfn.XLOOKUP(C20,'10k &amp; MO'!$N$3:$N$7,'10k &amp; MO'!$O$3:$O$7)</f>
        <v>0</v>
      </c>
      <c r="AF20" s="149" t="str">
        <f t="shared" si="8"/>
        <v>6872F2017</v>
      </c>
      <c r="AG20" s="149">
        <f>+IFERROR(VLOOKUP($AF20,'Limited Loss'!$F$5:$P$24,AG$3,FALSE),0)</f>
        <v>0</v>
      </c>
      <c r="AH20" s="150">
        <f>+IFERROR(VLOOKUP($AF20,'Limited Loss'!$F$5:$P$24,AH$3,FALSE),0)</f>
        <v>0</v>
      </c>
      <c r="AI20" s="150">
        <f>+IFERROR(VLOOKUP($AF20,'Limited Loss'!$F$5:$P$24,AI$3,FALSE),0)</f>
        <v>0</v>
      </c>
      <c r="AJ20" s="150">
        <f>+IFERROR(VLOOKUP($AF20,'Limited Loss'!$F$5:$P$24,AJ$3,FALSE),0)</f>
        <v>0</v>
      </c>
      <c r="AK20" s="86">
        <f>+IFERROR(VLOOKUP($AF20,'Limited Loss'!$F$5:$P$24,AK$3,FALSE),0)</f>
        <v>0</v>
      </c>
      <c r="AL20" s="150">
        <f>+IFERROR(VLOOKUP($AF20,'Limited Loss'!$F$5:$P$24,AL$3,FALSE),0)</f>
        <v>0</v>
      </c>
      <c r="AM20" s="150">
        <f>+IFERROR(VLOOKUP($AF20,'Limited Loss'!$F$5:$P$24,AM$3,FALSE),0)</f>
        <v>0</v>
      </c>
      <c r="AN20" s="150">
        <f>+IFERROR(VLOOKUP($AF20,'Limited Loss'!$F$5:$P$24,AN$3,FALSE),0)</f>
        <v>0</v>
      </c>
      <c r="AO20" s="150">
        <f>+IFERROR(VLOOKUP($AF20,'Limited Loss'!$F$5:$P$24,AO$3,FALSE),0)</f>
        <v>0</v>
      </c>
      <c r="AP20" s="86">
        <f>+IFERROR(VLOOKUP($AF20,'Limited Loss'!$F$5:$P$24,AP$3,FALSE),0)</f>
        <v>0</v>
      </c>
      <c r="AQ20" s="150"/>
      <c r="AR20" s="59" t="str">
        <f t="shared" si="9"/>
        <v>6872F</v>
      </c>
      <c r="AS20" s="188">
        <f t="shared" si="10"/>
        <v>2017</v>
      </c>
      <c r="AT20" s="247">
        <f t="shared" si="11"/>
        <v>0</v>
      </c>
      <c r="AU20" s="247">
        <f t="shared" si="12"/>
        <v>0</v>
      </c>
      <c r="AV20" s="247">
        <f t="shared" si="13"/>
        <v>0</v>
      </c>
      <c r="AW20" s="247">
        <f t="shared" si="14"/>
        <v>0</v>
      </c>
      <c r="AX20" s="248">
        <f t="shared" si="15"/>
        <v>5875.0464000000002</v>
      </c>
      <c r="AY20" s="247">
        <f t="shared" si="16"/>
        <v>0</v>
      </c>
      <c r="AZ20" s="247">
        <f t="shared" si="17"/>
        <v>0</v>
      </c>
      <c r="BA20" s="247">
        <f t="shared" si="18"/>
        <v>0</v>
      </c>
      <c r="BB20" s="247">
        <f t="shared" si="19"/>
        <v>0</v>
      </c>
      <c r="BC20" s="247">
        <f t="shared" si="20"/>
        <v>24398.190999999999</v>
      </c>
      <c r="BD20" s="248">
        <f t="shared" si="21"/>
        <v>0</v>
      </c>
      <c r="BE20" s="247">
        <f t="shared" si="22"/>
        <v>0</v>
      </c>
      <c r="BF20" s="150">
        <f t="shared" si="23"/>
        <v>30273.237399999998</v>
      </c>
      <c r="BG20" s="86">
        <f t="shared" si="24"/>
        <v>0</v>
      </c>
      <c r="BI20"/>
      <c r="BJ20"/>
      <c r="BK20"/>
      <c r="BL20"/>
    </row>
    <row r="21" spans="1:64" ht="14.6">
      <c r="A21" s="44" t="str">
        <f t="shared" si="7"/>
        <v>7309F2017</v>
      </c>
      <c r="B21" s="44" t="str">
        <f>Data_Loss!X18</f>
        <v>7309F</v>
      </c>
      <c r="C21" s="289">
        <f>Data_Loss!E18</f>
        <v>2017</v>
      </c>
      <c r="D21" s="150">
        <f>+IFERROR(VLOOKUP($A21,Data_Loss!$A$2:$V$100,6,FALSE),0)</f>
        <v>0</v>
      </c>
      <c r="E21" s="150">
        <f>+IFERROR(VLOOKUP($A21,Data_Loss!$A$2:$V$100,7,FALSE),0)</f>
        <v>0</v>
      </c>
      <c r="F21" s="150">
        <f>+IFERROR(VLOOKUP($A21,Data_Loss!$A$2:$V$100,8,FALSE),0)</f>
        <v>0</v>
      </c>
      <c r="G21" s="150">
        <f>+IFERROR(VLOOKUP($A21,Data_Loss!$A$2:$V$100,9,FALSE),0)</f>
        <v>1</v>
      </c>
      <c r="H21" s="150">
        <f>+IFERROR(VLOOKUP($A21,Data_Loss!$A$2:$V$100,10,FALSE),0)</f>
        <v>6</v>
      </c>
      <c r="I21" s="150">
        <f>+IFERROR(VLOOKUP($A21,Data_Loss!$A$2:$V$100,12,FALSE),0)</f>
        <v>0</v>
      </c>
      <c r="J21" s="150">
        <f>+IFERROR(VLOOKUP($A21,Data_Loss!$A$2:$V$100,13,FALSE),0)</f>
        <v>0</v>
      </c>
      <c r="K21" s="150">
        <f>+IFERROR(VLOOKUP($A21,Data_Loss!$A$2:$V$100,14,FALSE),0)</f>
        <v>0</v>
      </c>
      <c r="L21" s="150">
        <f>+IFERROR(VLOOKUP($A21,Data_Loss!$A$2:$V$100,15,FALSE),0)</f>
        <v>54994</v>
      </c>
      <c r="M21" s="150">
        <f>+IFERROR(VLOOKUP($A21,Data_Loss!$A$2:$V$100,16,FALSE),0)</f>
        <v>114579</v>
      </c>
      <c r="N21" s="150">
        <f>+IFERROR(VLOOKUP($A21,Data_Loss!$A$2:$V$100,17,FALSE),0)</f>
        <v>0</v>
      </c>
      <c r="O21" s="150">
        <f>+IFERROR(VLOOKUP($A21,Data_Loss!$A$2:$V$100,18,FALSE),0)</f>
        <v>0</v>
      </c>
      <c r="P21" s="150">
        <f>+IFERROR(VLOOKUP($A21,Data_Loss!$A$2:$V$100,19,FALSE),0)</f>
        <v>0</v>
      </c>
      <c r="Q21" s="150">
        <f>+IFERROR(VLOOKUP($A21,Data_Loss!$A$2:$V$100,20,FALSE),0)</f>
        <v>74592</v>
      </c>
      <c r="R21" s="150">
        <f>+IFERROR(VLOOKUP($A21,Data_Loss!$A$2:$V$100,21,FALSE),0)</f>
        <v>31325</v>
      </c>
      <c r="S21" s="150">
        <f>+IFERROR(VLOOKUP($A21,Data_Loss!$A$2:$V$100,22,FALSE),0)</f>
        <v>11505</v>
      </c>
      <c r="T21" s="580" cm="1">
        <f t="array" ref="T21">MMULT($I21:$M21,_xlfn._xlws.FILTER('10k &amp; MO'!C$3:C$31,'10k &amp; MO'!$B$3:$B$31=$C21,"0"))</f>
        <v>0</v>
      </c>
      <c r="U21" s="247" cm="1">
        <f t="array" ref="U21">MMULT($I21:$M21,_xlfn._xlws.FILTER('10k &amp; MO'!D$3:D$31,'10k &amp; MO'!$B$3:$B$31=$C21,"0"))</f>
        <v>0</v>
      </c>
      <c r="V21" s="247" cm="1">
        <f t="array" ref="V21">MMULT($I21:$M21,_xlfn._xlws.FILTER('10k &amp; MO'!E$3:E$31,'10k &amp; MO'!$B$3:$B$31=$C21,"0"))</f>
        <v>0</v>
      </c>
      <c r="W21" s="247" cm="1">
        <f t="array" ref="W21">MMULT($I21:$M21,_xlfn._xlws.FILTER('10k &amp; MO'!F$3:F$31,'10k &amp; MO'!$B$3:$B$31=$C21,"0"))</f>
        <v>109746.0264</v>
      </c>
      <c r="X21" s="247" cm="1">
        <f t="array" ref="X21">MMULT($I21:$M21,_xlfn._xlws.FILTER('10k &amp; MO'!G$3:G$31,'10k &amp; MO'!$B$3:$B$31=$C21,"0"))</f>
        <v>228653.8524</v>
      </c>
      <c r="Y21" s="148" cm="1">
        <f t="array" ref="Y21">MMULT($N21:$R21,_xlfn._xlws.FILTER('10k &amp; MO'!H$3:H$31,'10k &amp; MO'!$B$3:$B$31=$C21,"0"))</f>
        <v>0</v>
      </c>
      <c r="Z21" s="247" cm="1">
        <f t="array" ref="Z21">MMULT($N21:$R21,_xlfn._xlws.FILTER('10k &amp; MO'!I$3:I$31,'10k &amp; MO'!$B$3:$B$31=$C21,"0"))</f>
        <v>0</v>
      </c>
      <c r="AA21" s="247" cm="1">
        <f t="array" ref="AA21">MMULT($N21:$R21,_xlfn._xlws.FILTER('10k &amp; MO'!J$3:J$31,'10k &amp; MO'!$B$3:$B$31=$C21,"0"))</f>
        <v>0</v>
      </c>
      <c r="AB21" s="247" cm="1">
        <f t="array" ref="AB21">MMULT($N21:$R21,_xlfn._xlws.FILTER('10k &amp; MO'!K$3:K$31,'10k &amp; MO'!$B$3:$B$31=$C21,"0"))</f>
        <v>134459.5392</v>
      </c>
      <c r="AC21" s="248" cm="1">
        <f t="array" ref="AC21">MMULT($N21:$R21,_xlfn._xlws.FILTER('10k &amp; MO'!L$3:L$31,'10k &amp; MO'!$B$3:$B$31=$C21,"0"))</f>
        <v>56466.445</v>
      </c>
      <c r="AD21" s="248">
        <f>S21*_xlfn.XLOOKUP(C21,'10k &amp; MO'!$N$3:$N$7,'10k &amp; MO'!$O$3:$O$7)</f>
        <v>13265.264999999999</v>
      </c>
      <c r="AF21" s="149" t="str">
        <f t="shared" si="8"/>
        <v>7309F2017</v>
      </c>
      <c r="AG21" s="149">
        <f>+IFERROR(VLOOKUP($AF21,'Limited Loss'!$F$5:$P$24,AG$3,FALSE),0)</f>
        <v>0</v>
      </c>
      <c r="AH21" s="150">
        <f>+IFERROR(VLOOKUP($AF21,'Limited Loss'!$F$5:$P$24,AH$3,FALSE),0)</f>
        <v>0</v>
      </c>
      <c r="AI21" s="150">
        <f>+IFERROR(VLOOKUP($AF21,'Limited Loss'!$F$5:$P$24,AI$3,FALSE),0)</f>
        <v>0</v>
      </c>
      <c r="AJ21" s="150">
        <f>+IFERROR(VLOOKUP($AF21,'Limited Loss'!$F$5:$P$24,AJ$3,FALSE),0)</f>
        <v>0</v>
      </c>
      <c r="AK21" s="86">
        <f>+IFERROR(VLOOKUP($AF21,'Limited Loss'!$F$5:$P$24,AK$3,FALSE),0)</f>
        <v>0</v>
      </c>
      <c r="AL21" s="150">
        <f>+IFERROR(VLOOKUP($AF21,'Limited Loss'!$F$5:$P$24,AL$3,FALSE),0)</f>
        <v>0</v>
      </c>
      <c r="AM21" s="150">
        <f>+IFERROR(VLOOKUP($AF21,'Limited Loss'!$F$5:$P$24,AM$3,FALSE),0)</f>
        <v>0</v>
      </c>
      <c r="AN21" s="150">
        <f>+IFERROR(VLOOKUP($AF21,'Limited Loss'!$F$5:$P$24,AN$3,FALSE),0)</f>
        <v>0</v>
      </c>
      <c r="AO21" s="150">
        <f>+IFERROR(VLOOKUP($AF21,'Limited Loss'!$F$5:$P$24,AO$3,FALSE),0)</f>
        <v>0</v>
      </c>
      <c r="AP21" s="86">
        <f>+IFERROR(VLOOKUP($AF21,'Limited Loss'!$F$5:$P$24,AP$3,FALSE),0)</f>
        <v>0</v>
      </c>
      <c r="AQ21" s="150"/>
      <c r="AR21" s="59" t="str">
        <f t="shared" si="9"/>
        <v>7309F</v>
      </c>
      <c r="AS21" s="188">
        <f t="shared" si="10"/>
        <v>2017</v>
      </c>
      <c r="AT21" s="247">
        <f t="shared" si="11"/>
        <v>0</v>
      </c>
      <c r="AU21" s="247">
        <f t="shared" si="12"/>
        <v>0</v>
      </c>
      <c r="AV21" s="247">
        <f t="shared" si="13"/>
        <v>0</v>
      </c>
      <c r="AW21" s="247">
        <f t="shared" si="14"/>
        <v>109746.0264</v>
      </c>
      <c r="AX21" s="248">
        <f t="shared" si="15"/>
        <v>228653.8524</v>
      </c>
      <c r="AY21" s="247">
        <f t="shared" si="16"/>
        <v>0</v>
      </c>
      <c r="AZ21" s="247">
        <f t="shared" si="17"/>
        <v>0</v>
      </c>
      <c r="BA21" s="247">
        <f t="shared" si="18"/>
        <v>0</v>
      </c>
      <c r="BB21" s="247">
        <f t="shared" si="19"/>
        <v>134459.5392</v>
      </c>
      <c r="BC21" s="247">
        <f t="shared" si="20"/>
        <v>56466.445</v>
      </c>
      <c r="BD21" s="248">
        <f t="shared" si="21"/>
        <v>13265.264999999999</v>
      </c>
      <c r="BE21" s="247">
        <f t="shared" si="22"/>
        <v>0</v>
      </c>
      <c r="BF21" s="150">
        <f t="shared" si="23"/>
        <v>529325.86300000001</v>
      </c>
      <c r="BG21" s="86">
        <f t="shared" si="24"/>
        <v>13265.264999999999</v>
      </c>
      <c r="BI21"/>
      <c r="BJ21"/>
      <c r="BK21"/>
      <c r="BL21"/>
    </row>
    <row r="22" spans="1:64" ht="14.6">
      <c r="A22" s="44" t="str">
        <f t="shared" ref="A22:A34" si="25">+B22&amp;C22</f>
        <v>7317F2017</v>
      </c>
      <c r="B22" s="44" t="str">
        <f>Data_Loss!X19</f>
        <v>7317F</v>
      </c>
      <c r="C22" s="289">
        <f>Data_Loss!E19</f>
        <v>2017</v>
      </c>
      <c r="D22" s="150">
        <f>+IFERROR(VLOOKUP($A22,Data_Loss!$A$2:$V$100,6,FALSE),0)</f>
        <v>0</v>
      </c>
      <c r="E22" s="150">
        <f>+IFERROR(VLOOKUP($A22,Data_Loss!$A$2:$V$100,7,FALSE),0)</f>
        <v>0</v>
      </c>
      <c r="F22" s="150">
        <f>+IFERROR(VLOOKUP($A22,Data_Loss!$A$2:$V$100,8,FALSE),0)</f>
        <v>0</v>
      </c>
      <c r="G22" s="150">
        <f>+IFERROR(VLOOKUP($A22,Data_Loss!$A$2:$V$100,9,FALSE),0)</f>
        <v>2</v>
      </c>
      <c r="H22" s="150">
        <f>+IFERROR(VLOOKUP($A22,Data_Loss!$A$2:$V$100,10,FALSE),0)</f>
        <v>0</v>
      </c>
      <c r="I22" s="150">
        <f>+IFERROR(VLOOKUP($A22,Data_Loss!$A$2:$V$100,12,FALSE),0)</f>
        <v>0</v>
      </c>
      <c r="J22" s="150">
        <f>+IFERROR(VLOOKUP($A22,Data_Loss!$A$2:$V$100,13,FALSE),0)</f>
        <v>0</v>
      </c>
      <c r="K22" s="150">
        <f>+IFERROR(VLOOKUP($A22,Data_Loss!$A$2:$V$100,14,FALSE),0)</f>
        <v>0</v>
      </c>
      <c r="L22" s="150">
        <f>+IFERROR(VLOOKUP($A22,Data_Loss!$A$2:$V$100,15,FALSE),0)</f>
        <v>35260</v>
      </c>
      <c r="M22" s="150">
        <f>+IFERROR(VLOOKUP($A22,Data_Loss!$A$2:$V$100,16,FALSE),0)</f>
        <v>0</v>
      </c>
      <c r="N22" s="150">
        <f>+IFERROR(VLOOKUP($A22,Data_Loss!$A$2:$V$100,17,FALSE),0)</f>
        <v>0</v>
      </c>
      <c r="O22" s="150">
        <f>+IFERROR(VLOOKUP($A22,Data_Loss!$A$2:$V$100,18,FALSE),0)</f>
        <v>0</v>
      </c>
      <c r="P22" s="150">
        <f>+IFERROR(VLOOKUP($A22,Data_Loss!$A$2:$V$100,19,FALSE),0)</f>
        <v>0</v>
      </c>
      <c r="Q22" s="150">
        <f>+IFERROR(VLOOKUP($A22,Data_Loss!$A$2:$V$100,20,FALSE),0)</f>
        <v>38888</v>
      </c>
      <c r="R22" s="150">
        <f>+IFERROR(VLOOKUP($A22,Data_Loss!$A$2:$V$100,21,FALSE),0)</f>
        <v>0</v>
      </c>
      <c r="S22" s="150">
        <f>+IFERROR(VLOOKUP($A22,Data_Loss!$A$2:$V$100,22,FALSE),0)</f>
        <v>3596</v>
      </c>
      <c r="T22" s="580" cm="1">
        <f t="array" ref="T22">MMULT($I22:$M22,_xlfn._xlws.FILTER('10k &amp; MO'!C$3:C$31,'10k &amp; MO'!$B$3:$B$31=$C22,"0"))</f>
        <v>0</v>
      </c>
      <c r="U22" s="247" cm="1">
        <f t="array" ref="U22">MMULT($I22:$M22,_xlfn._xlws.FILTER('10k &amp; MO'!D$3:D$31,'10k &amp; MO'!$B$3:$B$31=$C22,"0"))</f>
        <v>0</v>
      </c>
      <c r="V22" s="247" cm="1">
        <f t="array" ref="V22">MMULT($I22:$M22,_xlfn._xlws.FILTER('10k &amp; MO'!E$3:E$31,'10k &amp; MO'!$B$3:$B$31=$C22,"0"))</f>
        <v>0</v>
      </c>
      <c r="W22" s="247" cm="1">
        <f t="array" ref="W22">MMULT($I22:$M22,_xlfn._xlws.FILTER('10k &amp; MO'!F$3:F$31,'10k &amp; MO'!$B$3:$B$31=$C22,"0"))</f>
        <v>70364.856</v>
      </c>
      <c r="X22" s="247" cm="1">
        <f t="array" ref="X22">MMULT($I22:$M22,_xlfn._xlws.FILTER('10k &amp; MO'!G$3:G$31,'10k &amp; MO'!$B$3:$B$31=$C22,"0"))</f>
        <v>0</v>
      </c>
      <c r="Y22" s="148" cm="1">
        <f t="array" ref="Y22">MMULT($N22:$R22,_xlfn._xlws.FILTER('10k &amp; MO'!H$3:H$31,'10k &amp; MO'!$B$3:$B$31=$C22,"0"))</f>
        <v>0</v>
      </c>
      <c r="Z22" s="247" cm="1">
        <f t="array" ref="Z22">MMULT($N22:$R22,_xlfn._xlws.FILTER('10k &amp; MO'!I$3:I$31,'10k &amp; MO'!$B$3:$B$31=$C22,"0"))</f>
        <v>0</v>
      </c>
      <c r="AA22" s="247" cm="1">
        <f t="array" ref="AA22">MMULT($N22:$R22,_xlfn._xlws.FILTER('10k &amp; MO'!J$3:J$31,'10k &amp; MO'!$B$3:$B$31=$C22,"0"))</f>
        <v>0</v>
      </c>
      <c r="AB22" s="247" cm="1">
        <f t="array" ref="AB22">MMULT($N22:$R22,_xlfn._xlws.FILTER('10k &amp; MO'!K$3:K$31,'10k &amp; MO'!$B$3:$B$31=$C22,"0"))</f>
        <v>70099.508799999996</v>
      </c>
      <c r="AC22" s="248" cm="1">
        <f t="array" ref="AC22">MMULT($N22:$R22,_xlfn._xlws.FILTER('10k &amp; MO'!L$3:L$31,'10k &amp; MO'!$B$3:$B$31=$C22,"0"))</f>
        <v>0</v>
      </c>
      <c r="AD22" s="248">
        <f>S22*_xlfn.XLOOKUP(C22,'10k &amp; MO'!$N$3:$N$7,'10k &amp; MO'!$O$3:$O$7)</f>
        <v>4146.1880000000001</v>
      </c>
      <c r="AF22" s="149" t="str">
        <f t="shared" ref="AF22:AF34" si="26">+B22&amp;C22</f>
        <v>7317F2017</v>
      </c>
      <c r="AG22" s="149">
        <f>+IFERROR(VLOOKUP($AF22,'Limited Loss'!$F$5:$P$24,AG$3,FALSE),0)</f>
        <v>0</v>
      </c>
      <c r="AH22" s="150">
        <f>+IFERROR(VLOOKUP($AF22,'Limited Loss'!$F$5:$P$24,AH$3,FALSE),0)</f>
        <v>0</v>
      </c>
      <c r="AI22" s="150">
        <f>+IFERROR(VLOOKUP($AF22,'Limited Loss'!$F$5:$P$24,AI$3,FALSE),0)</f>
        <v>0</v>
      </c>
      <c r="AJ22" s="150">
        <f>+IFERROR(VLOOKUP($AF22,'Limited Loss'!$F$5:$P$24,AJ$3,FALSE),0)</f>
        <v>0</v>
      </c>
      <c r="AK22" s="86">
        <f>+IFERROR(VLOOKUP($AF22,'Limited Loss'!$F$5:$P$24,AK$3,FALSE),0)</f>
        <v>0</v>
      </c>
      <c r="AL22" s="150">
        <f>+IFERROR(VLOOKUP($AF22,'Limited Loss'!$F$5:$P$24,AL$3,FALSE),0)</f>
        <v>0</v>
      </c>
      <c r="AM22" s="150">
        <f>+IFERROR(VLOOKUP($AF22,'Limited Loss'!$F$5:$P$24,AM$3,FALSE),0)</f>
        <v>0</v>
      </c>
      <c r="AN22" s="150">
        <f>+IFERROR(VLOOKUP($AF22,'Limited Loss'!$F$5:$P$24,AN$3,FALSE),0)</f>
        <v>0</v>
      </c>
      <c r="AO22" s="150">
        <f>+IFERROR(VLOOKUP($AF22,'Limited Loss'!$F$5:$P$24,AO$3,FALSE),0)</f>
        <v>0</v>
      </c>
      <c r="AP22" s="86">
        <f>+IFERROR(VLOOKUP($AF22,'Limited Loss'!$F$5:$P$24,AP$3,FALSE),0)</f>
        <v>0</v>
      </c>
      <c r="AQ22" s="150"/>
      <c r="AR22" s="59" t="str">
        <f t="shared" ref="AR22:AR34" si="27">+B22</f>
        <v>7317F</v>
      </c>
      <c r="AS22" s="188">
        <f t="shared" ref="AS22:AS34" si="28">+C22</f>
        <v>2017</v>
      </c>
      <c r="AT22" s="247">
        <f t="shared" ref="AT22:AT34" si="29">+T22-AG22</f>
        <v>0</v>
      </c>
      <c r="AU22" s="247">
        <f t="shared" ref="AU22:AU34" si="30">+U22-AH22</f>
        <v>0</v>
      </c>
      <c r="AV22" s="247">
        <f t="shared" ref="AV22:AV34" si="31">+V22-AI22</f>
        <v>0</v>
      </c>
      <c r="AW22" s="247">
        <f t="shared" ref="AW22:AW34" si="32">+W22-AJ22</f>
        <v>70364.856</v>
      </c>
      <c r="AX22" s="248">
        <f t="shared" ref="AX22:AX34" si="33">+X22-AK22</f>
        <v>0</v>
      </c>
      <c r="AY22" s="247">
        <f t="shared" ref="AY22:AY34" si="34">+Y22-AL22</f>
        <v>0</v>
      </c>
      <c r="AZ22" s="247">
        <f t="shared" ref="AZ22:AZ34" si="35">+Z22-AM22</f>
        <v>0</v>
      </c>
      <c r="BA22" s="247">
        <f t="shared" ref="BA22:BA34" si="36">+AA22-AN22</f>
        <v>0</v>
      </c>
      <c r="BB22" s="247">
        <f t="shared" ref="BB22:BB34" si="37">+AB22-AO22</f>
        <v>70099.508799999996</v>
      </c>
      <c r="BC22" s="247">
        <f t="shared" ref="BC22:BC34" si="38">+AC22-AP22</f>
        <v>0</v>
      </c>
      <c r="BD22" s="248">
        <f t="shared" ref="BD22:BD34" si="39">+AD22-AQ22</f>
        <v>4146.1880000000001</v>
      </c>
      <c r="BE22" s="247">
        <f t="shared" ref="BE22:BE34" si="40">+AT22+AU22+AV22+AY22+AZ22+BA22</f>
        <v>0</v>
      </c>
      <c r="BF22" s="150">
        <f t="shared" ref="BF22:BF34" si="41">+AW22+AX22+BB22+BC22</f>
        <v>140464.36479999998</v>
      </c>
      <c r="BG22" s="86">
        <f t="shared" ref="BG22:BG34" si="42">+BD22</f>
        <v>4146.1880000000001</v>
      </c>
      <c r="BI22"/>
      <c r="BJ22"/>
      <c r="BK22"/>
      <c r="BL22"/>
    </row>
    <row r="23" spans="1:64" ht="14.6">
      <c r="A23" s="44" t="str">
        <f t="shared" si="25"/>
        <v>7327F2017</v>
      </c>
      <c r="B23" s="44" t="str">
        <f>Data_Loss!X20</f>
        <v>7327F</v>
      </c>
      <c r="C23" s="289">
        <f>Data_Loss!E20</f>
        <v>2017</v>
      </c>
      <c r="D23" s="150">
        <f>+IFERROR(VLOOKUP($A23,Data_Loss!$A$2:$V$100,6,FALSE),0)</f>
        <v>0</v>
      </c>
      <c r="E23" s="150">
        <f>+IFERROR(VLOOKUP($A23,Data_Loss!$A$2:$V$100,7,FALSE),0)</f>
        <v>0</v>
      </c>
      <c r="F23" s="150">
        <f>+IFERROR(VLOOKUP($A23,Data_Loss!$A$2:$V$100,8,FALSE),0)</f>
        <v>1</v>
      </c>
      <c r="G23" s="150">
        <f>+IFERROR(VLOOKUP($A23,Data_Loss!$A$2:$V$100,9,FALSE),0)</f>
        <v>1</v>
      </c>
      <c r="H23" s="150">
        <f>+IFERROR(VLOOKUP($A23,Data_Loss!$A$2:$V$100,10,FALSE),0)</f>
        <v>6</v>
      </c>
      <c r="I23" s="150">
        <f>+IFERROR(VLOOKUP($A23,Data_Loss!$A$2:$V$100,12,FALSE),0)</f>
        <v>0</v>
      </c>
      <c r="J23" s="150">
        <f>+IFERROR(VLOOKUP($A23,Data_Loss!$A$2:$V$100,13,FALSE),0)</f>
        <v>0</v>
      </c>
      <c r="K23" s="150">
        <f>+IFERROR(VLOOKUP($A23,Data_Loss!$A$2:$V$100,14,FALSE),0)</f>
        <v>166166</v>
      </c>
      <c r="L23" s="150">
        <f>+IFERROR(VLOOKUP($A23,Data_Loss!$A$2:$V$100,15,FALSE),0)</f>
        <v>116776</v>
      </c>
      <c r="M23" s="150">
        <f>+IFERROR(VLOOKUP($A23,Data_Loss!$A$2:$V$100,16,FALSE),0)</f>
        <v>184408</v>
      </c>
      <c r="N23" s="150">
        <f>+IFERROR(VLOOKUP($A23,Data_Loss!$A$2:$V$100,17,FALSE),0)</f>
        <v>0</v>
      </c>
      <c r="O23" s="150">
        <f>+IFERROR(VLOOKUP($A23,Data_Loss!$A$2:$V$100,18,FALSE),0)</f>
        <v>0</v>
      </c>
      <c r="P23" s="150">
        <f>+IFERROR(VLOOKUP($A23,Data_Loss!$A$2:$V$100,19,FALSE),0)</f>
        <v>32077</v>
      </c>
      <c r="Q23" s="150">
        <f>+IFERROR(VLOOKUP($A23,Data_Loss!$A$2:$V$100,20,FALSE),0)</f>
        <v>15000</v>
      </c>
      <c r="R23" s="150">
        <f>+IFERROR(VLOOKUP($A23,Data_Loss!$A$2:$V$100,21,FALSE),0)</f>
        <v>70457</v>
      </c>
      <c r="S23" s="150">
        <f>+IFERROR(VLOOKUP($A23,Data_Loss!$A$2:$V$100,22,FALSE),0)</f>
        <v>10553</v>
      </c>
      <c r="T23" s="580" cm="1">
        <f t="array" ref="T23">MMULT($I23:$M23,_xlfn._xlws.FILTER('10k &amp; MO'!C$3:C$31,'10k &amp; MO'!$B$3:$B$31=$C23,"0"))</f>
        <v>0</v>
      </c>
      <c r="U23" s="247" cm="1">
        <f t="array" ref="U23">MMULT($I23:$M23,_xlfn._xlws.FILTER('10k &amp; MO'!D$3:D$31,'10k &amp; MO'!$B$3:$B$31=$C23,"0"))</f>
        <v>0</v>
      </c>
      <c r="V23" s="247" cm="1">
        <f t="array" ref="V23">MMULT($I23:$M23,_xlfn._xlws.FILTER('10k &amp; MO'!E$3:E$31,'10k &amp; MO'!$B$3:$B$31=$C23,"0"))</f>
        <v>331600.86960000003</v>
      </c>
      <c r="W23" s="247" cm="1">
        <f t="array" ref="W23">MMULT($I23:$M23,_xlfn._xlws.FILTER('10k &amp; MO'!F$3:F$31,'10k &amp; MO'!$B$3:$B$31=$C23,"0"))</f>
        <v>233038.1856</v>
      </c>
      <c r="X23" s="247" cm="1">
        <f t="array" ref="X23">MMULT($I23:$M23,_xlfn._xlws.FILTER('10k &amp; MO'!G$3:G$31,'10k &amp; MO'!$B$3:$B$31=$C23,"0"))</f>
        <v>368004.60480000003</v>
      </c>
      <c r="Y23" s="148" cm="1">
        <f t="array" ref="Y23">MMULT($N23:$R23,_xlfn._xlws.FILTER('10k &amp; MO'!H$3:H$31,'10k &amp; MO'!$B$3:$B$31=$C23,"0"))</f>
        <v>0</v>
      </c>
      <c r="Z23" s="247" cm="1">
        <f t="array" ref="Z23">MMULT($N23:$R23,_xlfn._xlws.FILTER('10k &amp; MO'!I$3:I$31,'10k &amp; MO'!$B$3:$B$31=$C23,"0"))</f>
        <v>0</v>
      </c>
      <c r="AA23" s="247" cm="1">
        <f t="array" ref="AA23">MMULT($N23:$R23,_xlfn._xlws.FILTER('10k &amp; MO'!J$3:J$31,'10k &amp; MO'!$B$3:$B$31=$C23,"0"))</f>
        <v>57822.000200000002</v>
      </c>
      <c r="AB23" s="247" cm="1">
        <f t="array" ref="AB23">MMULT($N23:$R23,_xlfn._xlws.FILTER('10k &amp; MO'!K$3:K$31,'10k &amp; MO'!$B$3:$B$31=$C23,"0"))</f>
        <v>27039</v>
      </c>
      <c r="AC23" s="248" cm="1">
        <f t="array" ref="AC23">MMULT($N23:$R23,_xlfn._xlws.FILTER('10k &amp; MO'!L$3:L$31,'10k &amp; MO'!$B$3:$B$31=$C23,"0"))</f>
        <v>127005.7882</v>
      </c>
      <c r="AD23" s="248">
        <f>S23*_xlfn.XLOOKUP(C23,'10k &amp; MO'!$N$3:$N$7,'10k &amp; MO'!$O$3:$O$7)</f>
        <v>12167.609</v>
      </c>
      <c r="AF23" s="149" t="str">
        <f t="shared" si="26"/>
        <v>7327F2017</v>
      </c>
      <c r="AG23" s="149">
        <f>+IFERROR(VLOOKUP($AF23,'Limited Loss'!$F$5:$P$24,AG$3,FALSE),0)</f>
        <v>0</v>
      </c>
      <c r="AH23" s="150">
        <f>+IFERROR(VLOOKUP($AF23,'Limited Loss'!$F$5:$P$24,AH$3,FALSE),0)</f>
        <v>0</v>
      </c>
      <c r="AI23" s="150">
        <f>+IFERROR(VLOOKUP($AF23,'Limited Loss'!$F$5:$P$24,AI$3,FALSE),0)</f>
        <v>0</v>
      </c>
      <c r="AJ23" s="150">
        <f>+IFERROR(VLOOKUP($AF23,'Limited Loss'!$F$5:$P$24,AJ$3,FALSE),0)</f>
        <v>0</v>
      </c>
      <c r="AK23" s="86">
        <f>+IFERROR(VLOOKUP($AF23,'Limited Loss'!$F$5:$P$24,AK$3,FALSE),0)</f>
        <v>0</v>
      </c>
      <c r="AL23" s="150">
        <f>+IFERROR(VLOOKUP($AF23,'Limited Loss'!$F$5:$P$24,AL$3,FALSE),0)</f>
        <v>0</v>
      </c>
      <c r="AM23" s="150">
        <f>+IFERROR(VLOOKUP($AF23,'Limited Loss'!$F$5:$P$24,AM$3,FALSE),0)</f>
        <v>0</v>
      </c>
      <c r="AN23" s="150">
        <f>+IFERROR(VLOOKUP($AF23,'Limited Loss'!$F$5:$P$24,AN$3,FALSE),0)</f>
        <v>0</v>
      </c>
      <c r="AO23" s="150">
        <f>+IFERROR(VLOOKUP($AF23,'Limited Loss'!$F$5:$P$24,AO$3,FALSE),0)</f>
        <v>0</v>
      </c>
      <c r="AP23" s="86">
        <f>+IFERROR(VLOOKUP($AF23,'Limited Loss'!$F$5:$P$24,AP$3,FALSE),0)</f>
        <v>0</v>
      </c>
      <c r="AQ23" s="150"/>
      <c r="AR23" s="59" t="str">
        <f t="shared" si="27"/>
        <v>7327F</v>
      </c>
      <c r="AS23" s="188">
        <f t="shared" si="28"/>
        <v>2017</v>
      </c>
      <c r="AT23" s="247">
        <f t="shared" si="29"/>
        <v>0</v>
      </c>
      <c r="AU23" s="247">
        <f t="shared" si="30"/>
        <v>0</v>
      </c>
      <c r="AV23" s="247">
        <f t="shared" si="31"/>
        <v>331600.86960000003</v>
      </c>
      <c r="AW23" s="247">
        <f t="shared" si="32"/>
        <v>233038.1856</v>
      </c>
      <c r="AX23" s="248">
        <f t="shared" si="33"/>
        <v>368004.60480000003</v>
      </c>
      <c r="AY23" s="247">
        <f t="shared" si="34"/>
        <v>0</v>
      </c>
      <c r="AZ23" s="247">
        <f t="shared" si="35"/>
        <v>0</v>
      </c>
      <c r="BA23" s="247">
        <f t="shared" si="36"/>
        <v>57822.000200000002</v>
      </c>
      <c r="BB23" s="247">
        <f t="shared" si="37"/>
        <v>27039</v>
      </c>
      <c r="BC23" s="247">
        <f t="shared" si="38"/>
        <v>127005.7882</v>
      </c>
      <c r="BD23" s="248">
        <f t="shared" si="39"/>
        <v>12167.609</v>
      </c>
      <c r="BE23" s="247">
        <f t="shared" si="40"/>
        <v>389422.86980000004</v>
      </c>
      <c r="BF23" s="150">
        <f t="shared" si="41"/>
        <v>755087.57860000001</v>
      </c>
      <c r="BG23" s="86">
        <f t="shared" si="42"/>
        <v>12167.609</v>
      </c>
      <c r="BI23"/>
      <c r="BJ23"/>
      <c r="BK23"/>
      <c r="BL23"/>
    </row>
    <row r="24" spans="1:64" ht="14.6">
      <c r="A24" s="44" t="str">
        <f t="shared" si="25"/>
        <v>7366F2017</v>
      </c>
      <c r="B24" s="44" t="str">
        <f>Data_Loss!X21</f>
        <v>7366F</v>
      </c>
      <c r="C24" s="289">
        <f>Data_Loss!E21</f>
        <v>2017</v>
      </c>
      <c r="D24" s="150">
        <f>+IFERROR(VLOOKUP($A24,Data_Loss!$A$2:$V$100,6,FALSE),0)</f>
        <v>0</v>
      </c>
      <c r="E24" s="150">
        <f>+IFERROR(VLOOKUP($A24,Data_Loss!$A$2:$V$100,7,FALSE),0)</f>
        <v>0</v>
      </c>
      <c r="F24" s="150">
        <f>+IFERROR(VLOOKUP($A24,Data_Loss!$A$2:$V$100,8,FALSE),0)</f>
        <v>2</v>
      </c>
      <c r="G24" s="150">
        <f>+IFERROR(VLOOKUP($A24,Data_Loss!$A$2:$V$100,9,FALSE),0)</f>
        <v>2</v>
      </c>
      <c r="H24" s="150">
        <f>+IFERROR(VLOOKUP($A24,Data_Loss!$A$2:$V$100,10,FALSE),0)</f>
        <v>4</v>
      </c>
      <c r="I24" s="150">
        <f>+IFERROR(VLOOKUP($A24,Data_Loss!$A$2:$V$100,12,FALSE),0)</f>
        <v>0</v>
      </c>
      <c r="J24" s="150">
        <f>+IFERROR(VLOOKUP($A24,Data_Loss!$A$2:$V$100,13,FALSE),0)</f>
        <v>0</v>
      </c>
      <c r="K24" s="150">
        <f>+IFERROR(VLOOKUP($A24,Data_Loss!$A$2:$V$100,14,FALSE),0)</f>
        <v>392525</v>
      </c>
      <c r="L24" s="150">
        <f>+IFERROR(VLOOKUP($A24,Data_Loss!$A$2:$V$100,15,FALSE),0)</f>
        <v>29439</v>
      </c>
      <c r="M24" s="150">
        <f>+IFERROR(VLOOKUP($A24,Data_Loss!$A$2:$V$100,16,FALSE),0)</f>
        <v>32608</v>
      </c>
      <c r="N24" s="150">
        <f>+IFERROR(VLOOKUP($A24,Data_Loss!$A$2:$V$100,17,FALSE),0)</f>
        <v>0</v>
      </c>
      <c r="O24" s="150">
        <f>+IFERROR(VLOOKUP($A24,Data_Loss!$A$2:$V$100,18,FALSE),0)</f>
        <v>0</v>
      </c>
      <c r="P24" s="150">
        <f>+IFERROR(VLOOKUP($A24,Data_Loss!$A$2:$V$100,19,FALSE),0)</f>
        <v>133412</v>
      </c>
      <c r="Q24" s="150">
        <f>+IFERROR(VLOOKUP($A24,Data_Loss!$A$2:$V$100,20,FALSE),0)</f>
        <v>7717</v>
      </c>
      <c r="R24" s="150">
        <f>+IFERROR(VLOOKUP($A24,Data_Loss!$A$2:$V$100,21,FALSE),0)</f>
        <v>28055</v>
      </c>
      <c r="S24" s="150">
        <f>+IFERROR(VLOOKUP($A24,Data_Loss!$A$2:$V$100,22,FALSE),0)</f>
        <v>9658</v>
      </c>
      <c r="T24" s="580" cm="1">
        <f t="array" ref="T24">MMULT($I24:$M24,_xlfn._xlws.FILTER('10k &amp; MO'!C$3:C$31,'10k &amp; MO'!$B$3:$B$31=$C24,"0"))</f>
        <v>0</v>
      </c>
      <c r="U24" s="247" cm="1">
        <f t="array" ref="U24">MMULT($I24:$M24,_xlfn._xlws.FILTER('10k &amp; MO'!D$3:D$31,'10k &amp; MO'!$B$3:$B$31=$C24,"0"))</f>
        <v>0</v>
      </c>
      <c r="V24" s="247" cm="1">
        <f t="array" ref="V24">MMULT($I24:$M24,_xlfn._xlws.FILTER('10k &amp; MO'!E$3:E$31,'10k &amp; MO'!$B$3:$B$31=$C24,"0"))</f>
        <v>783322.89</v>
      </c>
      <c r="W24" s="247" cm="1">
        <f t="array" ref="W24">MMULT($I24:$M24,_xlfn._xlws.FILTER('10k &amp; MO'!F$3:F$31,'10k &amp; MO'!$B$3:$B$31=$C24,"0"))</f>
        <v>58748.468399999998</v>
      </c>
      <c r="X24" s="247" cm="1">
        <f t="array" ref="X24">MMULT($I24:$M24,_xlfn._xlws.FILTER('10k &amp; MO'!G$3:G$31,'10k &amp; MO'!$B$3:$B$31=$C24,"0"))</f>
        <v>65072.524799999999</v>
      </c>
      <c r="Y24" s="148" cm="1">
        <f t="array" ref="Y24">MMULT($N24:$R24,_xlfn._xlws.FILTER('10k &amp; MO'!H$3:H$31,'10k &amp; MO'!$B$3:$B$31=$C24,"0"))</f>
        <v>0</v>
      </c>
      <c r="Z24" s="247" cm="1">
        <f t="array" ref="Z24">MMULT($N24:$R24,_xlfn._xlws.FILTER('10k &amp; MO'!I$3:I$31,'10k &amp; MO'!$B$3:$B$31=$C24,"0"))</f>
        <v>0</v>
      </c>
      <c r="AA24" s="247" cm="1">
        <f t="array" ref="AA24">MMULT($N24:$R24,_xlfn._xlws.FILTER('10k &amp; MO'!J$3:J$31,'10k &amp; MO'!$B$3:$B$31=$C24,"0"))</f>
        <v>240488.4712</v>
      </c>
      <c r="AB24" s="247" cm="1">
        <f t="array" ref="AB24">MMULT($N24:$R24,_xlfn._xlws.FILTER('10k &amp; MO'!K$3:K$31,'10k &amp; MO'!$B$3:$B$31=$C24,"0"))</f>
        <v>13910.664199999999</v>
      </c>
      <c r="AC24" s="248" cm="1">
        <f t="array" ref="AC24">MMULT($N24:$R24,_xlfn._xlws.FILTER('10k &amp; MO'!L$3:L$31,'10k &amp; MO'!$B$3:$B$31=$C24,"0"))</f>
        <v>50571.942999999999</v>
      </c>
      <c r="AD24" s="248">
        <f>S24*_xlfn.XLOOKUP(C24,'10k &amp; MO'!$N$3:$N$7,'10k &amp; MO'!$O$3:$O$7)</f>
        <v>11135.674000000001</v>
      </c>
      <c r="AF24" s="149" t="str">
        <f t="shared" si="26"/>
        <v>7366F2017</v>
      </c>
      <c r="AG24" s="149">
        <f>+IFERROR(VLOOKUP($AF24,'Limited Loss'!$F$5:$P$24,AG$3,FALSE),0)</f>
        <v>0</v>
      </c>
      <c r="AH24" s="150">
        <f>+IFERROR(VLOOKUP($AF24,'Limited Loss'!$F$5:$P$24,AH$3,FALSE),0)</f>
        <v>0</v>
      </c>
      <c r="AI24" s="150">
        <f>+IFERROR(VLOOKUP($AF24,'Limited Loss'!$F$5:$P$24,AI$3,FALSE),0)</f>
        <v>0</v>
      </c>
      <c r="AJ24" s="150">
        <f>+IFERROR(VLOOKUP($AF24,'Limited Loss'!$F$5:$P$24,AJ$3,FALSE),0)</f>
        <v>0</v>
      </c>
      <c r="AK24" s="86">
        <f>+IFERROR(VLOOKUP($AF24,'Limited Loss'!$F$5:$P$24,AK$3,FALSE),0)</f>
        <v>0</v>
      </c>
      <c r="AL24" s="150">
        <f>+IFERROR(VLOOKUP($AF24,'Limited Loss'!$F$5:$P$24,AL$3,FALSE),0)</f>
        <v>0</v>
      </c>
      <c r="AM24" s="150">
        <f>+IFERROR(VLOOKUP($AF24,'Limited Loss'!$F$5:$P$24,AM$3,FALSE),0)</f>
        <v>0</v>
      </c>
      <c r="AN24" s="150">
        <f>+IFERROR(VLOOKUP($AF24,'Limited Loss'!$F$5:$P$24,AN$3,FALSE),0)</f>
        <v>0</v>
      </c>
      <c r="AO24" s="150">
        <f>+IFERROR(VLOOKUP($AF24,'Limited Loss'!$F$5:$P$24,AO$3,FALSE),0)</f>
        <v>0</v>
      </c>
      <c r="AP24" s="86">
        <f>+IFERROR(VLOOKUP($AF24,'Limited Loss'!$F$5:$P$24,AP$3,FALSE),0)</f>
        <v>0</v>
      </c>
      <c r="AQ24" s="150"/>
      <c r="AR24" s="59" t="str">
        <f t="shared" si="27"/>
        <v>7366F</v>
      </c>
      <c r="AS24" s="188">
        <f t="shared" si="28"/>
        <v>2017</v>
      </c>
      <c r="AT24" s="247">
        <f t="shared" si="29"/>
        <v>0</v>
      </c>
      <c r="AU24" s="247">
        <f t="shared" si="30"/>
        <v>0</v>
      </c>
      <c r="AV24" s="247">
        <f t="shared" si="31"/>
        <v>783322.89</v>
      </c>
      <c r="AW24" s="247">
        <f t="shared" si="32"/>
        <v>58748.468399999998</v>
      </c>
      <c r="AX24" s="248">
        <f t="shared" si="33"/>
        <v>65072.524799999999</v>
      </c>
      <c r="AY24" s="247">
        <f t="shared" si="34"/>
        <v>0</v>
      </c>
      <c r="AZ24" s="247">
        <f t="shared" si="35"/>
        <v>0</v>
      </c>
      <c r="BA24" s="247">
        <f t="shared" si="36"/>
        <v>240488.4712</v>
      </c>
      <c r="BB24" s="247">
        <f t="shared" si="37"/>
        <v>13910.664199999999</v>
      </c>
      <c r="BC24" s="247">
        <f t="shared" si="38"/>
        <v>50571.942999999999</v>
      </c>
      <c r="BD24" s="248">
        <f t="shared" si="39"/>
        <v>11135.674000000001</v>
      </c>
      <c r="BE24" s="247">
        <f t="shared" si="40"/>
        <v>1023811.3612</v>
      </c>
      <c r="BF24" s="150">
        <f t="shared" si="41"/>
        <v>188303.6004</v>
      </c>
      <c r="BG24" s="86">
        <f t="shared" si="42"/>
        <v>11135.674000000001</v>
      </c>
      <c r="BI24"/>
      <c r="BJ24"/>
      <c r="BK24"/>
      <c r="BL24"/>
    </row>
    <row r="25" spans="1:64" ht="14.6">
      <c r="A25" s="44" t="str">
        <f t="shared" si="25"/>
        <v>8709F2017</v>
      </c>
      <c r="B25" s="44" t="str">
        <f>Data_Loss!X22</f>
        <v>8709F</v>
      </c>
      <c r="C25" s="289">
        <f>Data_Loss!E22</f>
        <v>2017</v>
      </c>
      <c r="D25" s="150">
        <f>+IFERROR(VLOOKUP($A25,Data_Loss!$A$2:$V$100,6,FALSE),0)</f>
        <v>0</v>
      </c>
      <c r="E25" s="150">
        <f>+IFERROR(VLOOKUP($A25,Data_Loss!$A$2:$V$100,7,FALSE),0)</f>
        <v>0</v>
      </c>
      <c r="F25" s="150">
        <f>+IFERROR(VLOOKUP($A25,Data_Loss!$A$2:$V$100,8,FALSE),0)</f>
        <v>1</v>
      </c>
      <c r="G25" s="150">
        <f>+IFERROR(VLOOKUP($A25,Data_Loss!$A$2:$V$100,9,FALSE),0)</f>
        <v>0</v>
      </c>
      <c r="H25" s="150">
        <f>+IFERROR(VLOOKUP($A25,Data_Loss!$A$2:$V$100,10,FALSE),0)</f>
        <v>1</v>
      </c>
      <c r="I25" s="150">
        <f>+IFERROR(VLOOKUP($A25,Data_Loss!$A$2:$V$100,12,FALSE),0)</f>
        <v>0</v>
      </c>
      <c r="J25" s="150">
        <f>+IFERROR(VLOOKUP($A25,Data_Loss!$A$2:$V$100,13,FALSE),0)</f>
        <v>0</v>
      </c>
      <c r="K25" s="150">
        <f>+IFERROR(VLOOKUP($A25,Data_Loss!$A$2:$V$100,14,FALSE),0)</f>
        <v>327184</v>
      </c>
      <c r="L25" s="150">
        <f>+IFERROR(VLOOKUP($A25,Data_Loss!$A$2:$V$100,15,FALSE),0)</f>
        <v>0</v>
      </c>
      <c r="M25" s="150">
        <f>+IFERROR(VLOOKUP($A25,Data_Loss!$A$2:$V$100,16,FALSE),0)</f>
        <v>20000</v>
      </c>
      <c r="N25" s="150">
        <f>+IFERROR(VLOOKUP($A25,Data_Loss!$A$2:$V$100,17,FALSE),0)</f>
        <v>0</v>
      </c>
      <c r="O25" s="150">
        <f>+IFERROR(VLOOKUP($A25,Data_Loss!$A$2:$V$100,18,FALSE),0)</f>
        <v>0</v>
      </c>
      <c r="P25" s="150">
        <f>+IFERROR(VLOOKUP($A25,Data_Loss!$A$2:$V$100,19,FALSE),0)</f>
        <v>302814</v>
      </c>
      <c r="Q25" s="150">
        <f>+IFERROR(VLOOKUP($A25,Data_Loss!$A$2:$V$100,20,FALSE),0)</f>
        <v>0</v>
      </c>
      <c r="R25" s="150">
        <f>+IFERROR(VLOOKUP($A25,Data_Loss!$A$2:$V$100,21,FALSE),0)</f>
        <v>0</v>
      </c>
      <c r="S25" s="150">
        <f>+IFERROR(VLOOKUP($A25,Data_Loss!$A$2:$V$100,22,FALSE),0)</f>
        <v>2648</v>
      </c>
      <c r="T25" s="580" cm="1">
        <f t="array" ref="T25">MMULT($I25:$M25,_xlfn._xlws.FILTER('10k &amp; MO'!C$3:C$31,'10k &amp; MO'!$B$3:$B$31=$C25,"0"))</f>
        <v>0</v>
      </c>
      <c r="U25" s="247" cm="1">
        <f t="array" ref="U25">MMULT($I25:$M25,_xlfn._xlws.FILTER('10k &amp; MO'!D$3:D$31,'10k &amp; MO'!$B$3:$B$31=$C25,"0"))</f>
        <v>0</v>
      </c>
      <c r="V25" s="247" cm="1">
        <f t="array" ref="V25">MMULT($I25:$M25,_xlfn._xlws.FILTER('10k &amp; MO'!E$3:E$31,'10k &amp; MO'!$B$3:$B$31=$C25,"0"))</f>
        <v>652928.39040000003</v>
      </c>
      <c r="W25" s="247" cm="1">
        <f t="array" ref="W25">MMULT($I25:$M25,_xlfn._xlws.FILTER('10k &amp; MO'!F$3:F$31,'10k &amp; MO'!$B$3:$B$31=$C25,"0"))</f>
        <v>0</v>
      </c>
      <c r="X25" s="247" cm="1">
        <f t="array" ref="X25">MMULT($I25:$M25,_xlfn._xlws.FILTER('10k &amp; MO'!G$3:G$31,'10k &amp; MO'!$B$3:$B$31=$C25,"0"))</f>
        <v>39912</v>
      </c>
      <c r="Y25" s="148" cm="1">
        <f t="array" ref="Y25">MMULT($N25:$R25,_xlfn._xlws.FILTER('10k &amp; MO'!H$3:H$31,'10k &amp; MO'!$B$3:$B$31=$C25,"0"))</f>
        <v>0</v>
      </c>
      <c r="Z25" s="247" cm="1">
        <f t="array" ref="Z25">MMULT($N25:$R25,_xlfn._xlws.FILTER('10k &amp; MO'!I$3:I$31,'10k &amp; MO'!$B$3:$B$31=$C25,"0"))</f>
        <v>0</v>
      </c>
      <c r="AA25" s="247" cm="1">
        <f t="array" ref="AA25">MMULT($N25:$R25,_xlfn._xlws.FILTER('10k &amp; MO'!J$3:J$31,'10k &amp; MO'!$B$3:$B$31=$C25,"0"))</f>
        <v>545852.51639999996</v>
      </c>
      <c r="AB25" s="247" cm="1">
        <f t="array" ref="AB25">MMULT($N25:$R25,_xlfn._xlws.FILTER('10k &amp; MO'!K$3:K$31,'10k &amp; MO'!$B$3:$B$31=$C25,"0"))</f>
        <v>0</v>
      </c>
      <c r="AC25" s="248" cm="1">
        <f t="array" ref="AC25">MMULT($N25:$R25,_xlfn._xlws.FILTER('10k &amp; MO'!L$3:L$31,'10k &amp; MO'!$B$3:$B$31=$C25,"0"))</f>
        <v>0</v>
      </c>
      <c r="AD25" s="248">
        <f>S25*_xlfn.XLOOKUP(C25,'10k &amp; MO'!$N$3:$N$7,'10k &amp; MO'!$O$3:$O$7)</f>
        <v>3053.1440000000002</v>
      </c>
      <c r="AF25" s="149" t="str">
        <f t="shared" si="26"/>
        <v>8709F2017</v>
      </c>
      <c r="AG25" s="149">
        <f>+IFERROR(VLOOKUP($AF25,'Limited Loss'!$F$5:$P$24,AG$3,FALSE),0)</f>
        <v>0</v>
      </c>
      <c r="AH25" s="150">
        <f>+IFERROR(VLOOKUP($AF25,'Limited Loss'!$F$5:$P$24,AH$3,FALSE),0)</f>
        <v>0</v>
      </c>
      <c r="AI25" s="150">
        <f>+IFERROR(VLOOKUP($AF25,'Limited Loss'!$F$5:$P$24,AI$3,FALSE),0)</f>
        <v>0</v>
      </c>
      <c r="AJ25" s="150">
        <f>+IFERROR(VLOOKUP($AF25,'Limited Loss'!$F$5:$P$24,AJ$3,FALSE),0)</f>
        <v>0</v>
      </c>
      <c r="AK25" s="86">
        <f>+IFERROR(VLOOKUP($AF25,'Limited Loss'!$F$5:$P$24,AK$3,FALSE),0)</f>
        <v>0</v>
      </c>
      <c r="AL25" s="150">
        <f>+IFERROR(VLOOKUP($AF25,'Limited Loss'!$F$5:$P$24,AL$3,FALSE),0)</f>
        <v>0</v>
      </c>
      <c r="AM25" s="150">
        <f>+IFERROR(VLOOKUP($AF25,'Limited Loss'!$F$5:$P$24,AM$3,FALSE),0)</f>
        <v>0</v>
      </c>
      <c r="AN25" s="150">
        <f>+IFERROR(VLOOKUP($AF25,'Limited Loss'!$F$5:$P$24,AN$3,FALSE),0)</f>
        <v>0</v>
      </c>
      <c r="AO25" s="150">
        <f>+IFERROR(VLOOKUP($AF25,'Limited Loss'!$F$5:$P$24,AO$3,FALSE),0)</f>
        <v>0</v>
      </c>
      <c r="AP25" s="86">
        <f>+IFERROR(VLOOKUP($AF25,'Limited Loss'!$F$5:$P$24,AP$3,FALSE),0)</f>
        <v>0</v>
      </c>
      <c r="AQ25" s="150"/>
      <c r="AR25" s="59" t="str">
        <f t="shared" si="27"/>
        <v>8709F</v>
      </c>
      <c r="AS25" s="188">
        <f t="shared" si="28"/>
        <v>2017</v>
      </c>
      <c r="AT25" s="247">
        <f t="shared" si="29"/>
        <v>0</v>
      </c>
      <c r="AU25" s="247">
        <f t="shared" si="30"/>
        <v>0</v>
      </c>
      <c r="AV25" s="247">
        <f t="shared" si="31"/>
        <v>652928.39040000003</v>
      </c>
      <c r="AW25" s="247">
        <f t="shared" si="32"/>
        <v>0</v>
      </c>
      <c r="AX25" s="248">
        <f t="shared" si="33"/>
        <v>39912</v>
      </c>
      <c r="AY25" s="247">
        <f t="shared" si="34"/>
        <v>0</v>
      </c>
      <c r="AZ25" s="247">
        <f t="shared" si="35"/>
        <v>0</v>
      </c>
      <c r="BA25" s="247">
        <f t="shared" si="36"/>
        <v>545852.51639999996</v>
      </c>
      <c r="BB25" s="247">
        <f t="shared" si="37"/>
        <v>0</v>
      </c>
      <c r="BC25" s="247">
        <f t="shared" si="38"/>
        <v>0</v>
      </c>
      <c r="BD25" s="248">
        <f t="shared" si="39"/>
        <v>3053.1440000000002</v>
      </c>
      <c r="BE25" s="247">
        <f t="shared" si="40"/>
        <v>1198780.9068</v>
      </c>
      <c r="BF25" s="150">
        <f t="shared" si="41"/>
        <v>39912</v>
      </c>
      <c r="BG25" s="86">
        <f t="shared" si="42"/>
        <v>3053.1440000000002</v>
      </c>
      <c r="BI25"/>
      <c r="BJ25"/>
      <c r="BK25"/>
      <c r="BL25"/>
    </row>
    <row r="26" spans="1:64" ht="14.6">
      <c r="A26" s="44" t="str">
        <f t="shared" si="25"/>
        <v>6826F2018</v>
      </c>
      <c r="B26" s="44" t="str">
        <f>Data_Loss!X23</f>
        <v>6826F</v>
      </c>
      <c r="C26" s="289">
        <f>Data_Loss!E23</f>
        <v>2018</v>
      </c>
      <c r="D26" s="150">
        <f>+IFERROR(VLOOKUP($A26,Data_Loss!$A$2:$V$100,6,FALSE),0)</f>
        <v>0</v>
      </c>
      <c r="E26" s="150">
        <f>+IFERROR(VLOOKUP($A26,Data_Loss!$A$2:$V$100,7,FALSE),0)</f>
        <v>0</v>
      </c>
      <c r="F26" s="150">
        <f>+IFERROR(VLOOKUP($A26,Data_Loss!$A$2:$V$100,8,FALSE),0)</f>
        <v>0</v>
      </c>
      <c r="G26" s="150">
        <f>+IFERROR(VLOOKUP($A26,Data_Loss!$A$2:$V$100,9,FALSE),0)</f>
        <v>0</v>
      </c>
      <c r="H26" s="150">
        <f>+IFERROR(VLOOKUP($A26,Data_Loss!$A$2:$V$100,10,FALSE),0)</f>
        <v>1</v>
      </c>
      <c r="I26" s="150">
        <f>+IFERROR(VLOOKUP($A26,Data_Loss!$A$2:$V$100,12,FALSE),0)</f>
        <v>0</v>
      </c>
      <c r="J26" s="150">
        <f>+IFERROR(VLOOKUP($A26,Data_Loss!$A$2:$V$100,13,FALSE),0)</f>
        <v>0</v>
      </c>
      <c r="K26" s="150">
        <f>+IFERROR(VLOOKUP($A26,Data_Loss!$A$2:$V$100,14,FALSE),0)</f>
        <v>0</v>
      </c>
      <c r="L26" s="150">
        <f>+IFERROR(VLOOKUP($A26,Data_Loss!$A$2:$V$100,15,FALSE),0)</f>
        <v>0</v>
      </c>
      <c r="M26" s="150">
        <f>+IFERROR(VLOOKUP($A26,Data_Loss!$A$2:$V$100,16,FALSE),0)</f>
        <v>16693</v>
      </c>
      <c r="N26" s="150">
        <f>+IFERROR(VLOOKUP($A26,Data_Loss!$A$2:$V$100,17,FALSE),0)</f>
        <v>0</v>
      </c>
      <c r="O26" s="150">
        <f>+IFERROR(VLOOKUP($A26,Data_Loss!$A$2:$V$100,18,FALSE),0)</f>
        <v>0</v>
      </c>
      <c r="P26" s="150">
        <f>+IFERROR(VLOOKUP($A26,Data_Loss!$A$2:$V$100,19,FALSE),0)</f>
        <v>0</v>
      </c>
      <c r="Q26" s="150">
        <f>+IFERROR(VLOOKUP($A26,Data_Loss!$A$2:$V$100,20,FALSE),0)</f>
        <v>0</v>
      </c>
      <c r="R26" s="150">
        <f>+IFERROR(VLOOKUP($A26,Data_Loss!$A$2:$V$100,21,FALSE),0)</f>
        <v>61873</v>
      </c>
      <c r="S26" s="150">
        <f>+IFERROR(VLOOKUP($A26,Data_Loss!$A$2:$V$100,22,FALSE),0)</f>
        <v>0</v>
      </c>
      <c r="T26" s="580" cm="1">
        <f t="array" ref="T26">MMULT($I26:$M26,_xlfn._xlws.FILTER('10k &amp; MO'!C$3:C$31,'10k &amp; MO'!$B$3:$B$31=$C26,"0"))</f>
        <v>0</v>
      </c>
      <c r="U26" s="247" cm="1">
        <f t="array" ref="U26">MMULT($I26:$M26,_xlfn._xlws.FILTER('10k &amp; MO'!D$3:D$31,'10k &amp; MO'!$B$3:$B$31=$C26,"0"))</f>
        <v>0</v>
      </c>
      <c r="V26" s="247" cm="1">
        <f t="array" ref="V26">MMULT($I26:$M26,_xlfn._xlws.FILTER('10k &amp; MO'!E$3:E$31,'10k &amp; MO'!$B$3:$B$31=$C26,"0"))</f>
        <v>0</v>
      </c>
      <c r="W26" s="247" cm="1">
        <f t="array" ref="W26">MMULT($I26:$M26,_xlfn._xlws.FILTER('10k &amp; MO'!F$3:F$31,'10k &amp; MO'!$B$3:$B$31=$C26,"0"))</f>
        <v>0</v>
      </c>
      <c r="X26" s="247" cm="1">
        <f t="array" ref="X26">MMULT($I26:$M26,_xlfn._xlws.FILTER('10k &amp; MO'!G$3:G$31,'10k &amp; MO'!$B$3:$B$31=$C26,"0"))</f>
        <v>38003.283800000005</v>
      </c>
      <c r="Y26" s="148" cm="1">
        <f t="array" ref="Y26">MMULT($N26:$R26,_xlfn._xlws.FILTER('10k &amp; MO'!H$3:H$31,'10k &amp; MO'!$B$3:$B$31=$C26,"0"))</f>
        <v>0</v>
      </c>
      <c r="Z26" s="247" cm="1">
        <f t="array" ref="Z26">MMULT($N26:$R26,_xlfn._xlws.FILTER('10k &amp; MO'!I$3:I$31,'10k &amp; MO'!$B$3:$B$31=$C26,"0"))</f>
        <v>0</v>
      </c>
      <c r="AA26" s="247" cm="1">
        <f t="array" ref="AA26">MMULT($N26:$R26,_xlfn._xlws.FILTER('10k &amp; MO'!J$3:J$31,'10k &amp; MO'!$B$3:$B$31=$C26,"0"))</f>
        <v>0</v>
      </c>
      <c r="AB26" s="247" cm="1">
        <f t="array" ref="AB26">MMULT($N26:$R26,_xlfn._xlws.FILTER('10k &amp; MO'!K$3:K$31,'10k &amp; MO'!$B$3:$B$31=$C26,"0"))</f>
        <v>0</v>
      </c>
      <c r="AC26" s="248" cm="1">
        <f t="array" ref="AC26">MMULT($N26:$R26,_xlfn._xlws.FILTER('10k &amp; MO'!L$3:L$31,'10k &amp; MO'!$B$3:$B$31=$C26,"0"))</f>
        <v>126913.89760000001</v>
      </c>
      <c r="AD26" s="248">
        <f>S26*_xlfn.XLOOKUP(C26,'10k &amp; MO'!$N$3:$N$7,'10k &amp; MO'!$O$3:$O$7)</f>
        <v>0</v>
      </c>
      <c r="AF26" s="149" t="str">
        <f t="shared" si="26"/>
        <v>6826F2018</v>
      </c>
      <c r="AG26" s="149">
        <f>+IFERROR(VLOOKUP($AF26,'Limited Loss'!$F$5:$P$24,AG$3,FALSE),0)</f>
        <v>0</v>
      </c>
      <c r="AH26" s="150">
        <f>+IFERROR(VLOOKUP($AF26,'Limited Loss'!$F$5:$P$24,AH$3,FALSE),0)</f>
        <v>0</v>
      </c>
      <c r="AI26" s="150">
        <f>+IFERROR(VLOOKUP($AF26,'Limited Loss'!$F$5:$P$24,AI$3,FALSE),0)</f>
        <v>0</v>
      </c>
      <c r="AJ26" s="150">
        <f>+IFERROR(VLOOKUP($AF26,'Limited Loss'!$F$5:$P$24,AJ$3,FALSE),0)</f>
        <v>0</v>
      </c>
      <c r="AK26" s="86">
        <f>+IFERROR(VLOOKUP($AF26,'Limited Loss'!$F$5:$P$24,AK$3,FALSE),0)</f>
        <v>0</v>
      </c>
      <c r="AL26" s="150">
        <f>+IFERROR(VLOOKUP($AF26,'Limited Loss'!$F$5:$P$24,AL$3,FALSE),0)</f>
        <v>0</v>
      </c>
      <c r="AM26" s="150">
        <f>+IFERROR(VLOOKUP($AF26,'Limited Loss'!$F$5:$P$24,AM$3,FALSE),0)</f>
        <v>0</v>
      </c>
      <c r="AN26" s="150">
        <f>+IFERROR(VLOOKUP($AF26,'Limited Loss'!$F$5:$P$24,AN$3,FALSE),0)</f>
        <v>0</v>
      </c>
      <c r="AO26" s="150">
        <f>+IFERROR(VLOOKUP($AF26,'Limited Loss'!$F$5:$P$24,AO$3,FALSE),0)</f>
        <v>0</v>
      </c>
      <c r="AP26" s="86">
        <f>+IFERROR(VLOOKUP($AF26,'Limited Loss'!$F$5:$P$24,AP$3,FALSE),0)</f>
        <v>0</v>
      </c>
      <c r="AQ26" s="150"/>
      <c r="AR26" s="59" t="str">
        <f t="shared" si="27"/>
        <v>6826F</v>
      </c>
      <c r="AS26" s="188">
        <f t="shared" si="28"/>
        <v>2018</v>
      </c>
      <c r="AT26" s="247">
        <f t="shared" si="29"/>
        <v>0</v>
      </c>
      <c r="AU26" s="247">
        <f t="shared" si="30"/>
        <v>0</v>
      </c>
      <c r="AV26" s="247">
        <f t="shared" si="31"/>
        <v>0</v>
      </c>
      <c r="AW26" s="247">
        <f t="shared" si="32"/>
        <v>0</v>
      </c>
      <c r="AX26" s="248">
        <f t="shared" si="33"/>
        <v>38003.283800000005</v>
      </c>
      <c r="AY26" s="247">
        <f t="shared" si="34"/>
        <v>0</v>
      </c>
      <c r="AZ26" s="247">
        <f t="shared" si="35"/>
        <v>0</v>
      </c>
      <c r="BA26" s="247">
        <f t="shared" si="36"/>
        <v>0</v>
      </c>
      <c r="BB26" s="247">
        <f t="shared" si="37"/>
        <v>0</v>
      </c>
      <c r="BC26" s="247">
        <f t="shared" si="38"/>
        <v>126913.89760000001</v>
      </c>
      <c r="BD26" s="248">
        <f t="shared" si="39"/>
        <v>0</v>
      </c>
      <c r="BE26" s="247">
        <f t="shared" si="40"/>
        <v>0</v>
      </c>
      <c r="BF26" s="150">
        <f t="shared" si="41"/>
        <v>164917.1814</v>
      </c>
      <c r="BG26" s="86">
        <f t="shared" si="42"/>
        <v>0</v>
      </c>
      <c r="BI26"/>
      <c r="BJ26"/>
      <c r="BK26"/>
      <c r="BL26"/>
    </row>
    <row r="27" spans="1:64" ht="14.6">
      <c r="A27" s="44" t="str">
        <f t="shared" si="25"/>
        <v>7309F2018</v>
      </c>
      <c r="B27" s="44" t="str">
        <f>Data_Loss!X24</f>
        <v>7309F</v>
      </c>
      <c r="C27" s="289">
        <f>Data_Loss!E24</f>
        <v>2018</v>
      </c>
      <c r="D27" s="150">
        <f>+IFERROR(VLOOKUP($A27,Data_Loss!$A$2:$V$100,6,FALSE),0)</f>
        <v>0</v>
      </c>
      <c r="E27" s="150">
        <f>+IFERROR(VLOOKUP($A27,Data_Loss!$A$2:$V$100,7,FALSE),0)</f>
        <v>0</v>
      </c>
      <c r="F27" s="150">
        <f>+IFERROR(VLOOKUP($A27,Data_Loss!$A$2:$V$100,8,FALSE),0)</f>
        <v>0</v>
      </c>
      <c r="G27" s="150">
        <f>+IFERROR(VLOOKUP($A27,Data_Loss!$A$2:$V$100,9,FALSE),0)</f>
        <v>0</v>
      </c>
      <c r="H27" s="150">
        <f>+IFERROR(VLOOKUP($A27,Data_Loss!$A$2:$V$100,10,FALSE),0)</f>
        <v>1</v>
      </c>
      <c r="I27" s="150">
        <f>+IFERROR(VLOOKUP($A27,Data_Loss!$A$2:$V$100,12,FALSE),0)</f>
        <v>0</v>
      </c>
      <c r="J27" s="150">
        <f>+IFERROR(VLOOKUP($A27,Data_Loss!$A$2:$V$100,13,FALSE),0)</f>
        <v>0</v>
      </c>
      <c r="K27" s="150">
        <f>+IFERROR(VLOOKUP($A27,Data_Loss!$A$2:$V$100,14,FALSE),0)</f>
        <v>0</v>
      </c>
      <c r="L27" s="150">
        <f>+IFERROR(VLOOKUP($A27,Data_Loss!$A$2:$V$100,15,FALSE),0)</f>
        <v>0</v>
      </c>
      <c r="M27" s="150">
        <f>+IFERROR(VLOOKUP($A27,Data_Loss!$A$2:$V$100,16,FALSE),0)</f>
        <v>12500</v>
      </c>
      <c r="N27" s="150">
        <f>+IFERROR(VLOOKUP($A27,Data_Loss!$A$2:$V$100,17,FALSE),0)</f>
        <v>0</v>
      </c>
      <c r="O27" s="150">
        <f>+IFERROR(VLOOKUP($A27,Data_Loss!$A$2:$V$100,18,FALSE),0)</f>
        <v>0</v>
      </c>
      <c r="P27" s="150">
        <f>+IFERROR(VLOOKUP($A27,Data_Loss!$A$2:$V$100,19,FALSE),0)</f>
        <v>0</v>
      </c>
      <c r="Q27" s="150">
        <f>+IFERROR(VLOOKUP($A27,Data_Loss!$A$2:$V$100,20,FALSE),0)</f>
        <v>0</v>
      </c>
      <c r="R27" s="150">
        <f>+IFERROR(VLOOKUP($A27,Data_Loss!$A$2:$V$100,21,FALSE),0)</f>
        <v>2500</v>
      </c>
      <c r="S27" s="150">
        <f>+IFERROR(VLOOKUP($A27,Data_Loss!$A$2:$V$100,22,FALSE),0)</f>
        <v>366</v>
      </c>
      <c r="T27" s="580" cm="1">
        <f t="array" ref="T27">MMULT($I27:$M27,_xlfn._xlws.FILTER('10k &amp; MO'!C$3:C$31,'10k &amp; MO'!$B$3:$B$31=$C27,"0"))</f>
        <v>0</v>
      </c>
      <c r="U27" s="247" cm="1">
        <f t="array" ref="U27">MMULT($I27:$M27,_xlfn._xlws.FILTER('10k &amp; MO'!D$3:D$31,'10k &amp; MO'!$B$3:$B$31=$C27,"0"))</f>
        <v>0</v>
      </c>
      <c r="V27" s="247" cm="1">
        <f t="array" ref="V27">MMULT($I27:$M27,_xlfn._xlws.FILTER('10k &amp; MO'!E$3:E$31,'10k &amp; MO'!$B$3:$B$31=$C27,"0"))</f>
        <v>0</v>
      </c>
      <c r="W27" s="247" cm="1">
        <f t="array" ref="W27">MMULT($I27:$M27,_xlfn._xlws.FILTER('10k &amp; MO'!F$3:F$31,'10k &amp; MO'!$B$3:$B$31=$C27,"0"))</f>
        <v>0</v>
      </c>
      <c r="X27" s="247" cm="1">
        <f t="array" ref="X27">MMULT($I27:$M27,_xlfn._xlws.FILTER('10k &amp; MO'!G$3:G$31,'10k &amp; MO'!$B$3:$B$31=$C27,"0"))</f>
        <v>28457.500000000004</v>
      </c>
      <c r="Y27" s="148" cm="1">
        <f t="array" ref="Y27">MMULT($N27:$R27,_xlfn._xlws.FILTER('10k &amp; MO'!H$3:H$31,'10k &amp; MO'!$B$3:$B$31=$C27,"0"))</f>
        <v>0</v>
      </c>
      <c r="Z27" s="247" cm="1">
        <f t="array" ref="Z27">MMULT($N27:$R27,_xlfn._xlws.FILTER('10k &amp; MO'!I$3:I$31,'10k &amp; MO'!$B$3:$B$31=$C27,"0"))</f>
        <v>0</v>
      </c>
      <c r="AA27" s="247" cm="1">
        <f t="array" ref="AA27">MMULT($N27:$R27,_xlfn._xlws.FILTER('10k &amp; MO'!J$3:J$31,'10k &amp; MO'!$B$3:$B$31=$C27,"0"))</f>
        <v>0</v>
      </c>
      <c r="AB27" s="247" cm="1">
        <f t="array" ref="AB27">MMULT($N27:$R27,_xlfn._xlws.FILTER('10k &amp; MO'!K$3:K$31,'10k &amp; MO'!$B$3:$B$31=$C27,"0"))</f>
        <v>0</v>
      </c>
      <c r="AC27" s="248" cm="1">
        <f t="array" ref="AC27">MMULT($N27:$R27,_xlfn._xlws.FILTER('10k &amp; MO'!L$3:L$31,'10k &amp; MO'!$B$3:$B$31=$C27,"0"))</f>
        <v>5128</v>
      </c>
      <c r="AD27" s="248">
        <f>S27*_xlfn.XLOOKUP(C27,'10k &amp; MO'!$N$3:$N$7,'10k &amp; MO'!$O$3:$O$7)</f>
        <v>421.99799999999999</v>
      </c>
      <c r="AF27" s="149" t="str">
        <f t="shared" si="26"/>
        <v>7309F2018</v>
      </c>
      <c r="AG27" s="149">
        <f>+IFERROR(VLOOKUP($AF27,'Limited Loss'!$F$5:$P$24,AG$3,FALSE),0)</f>
        <v>0</v>
      </c>
      <c r="AH27" s="150">
        <f>+IFERROR(VLOOKUP($AF27,'Limited Loss'!$F$5:$P$24,AH$3,FALSE),0)</f>
        <v>0</v>
      </c>
      <c r="AI27" s="150">
        <f>+IFERROR(VLOOKUP($AF27,'Limited Loss'!$F$5:$P$24,AI$3,FALSE),0)</f>
        <v>0</v>
      </c>
      <c r="AJ27" s="150">
        <f>+IFERROR(VLOOKUP($AF27,'Limited Loss'!$F$5:$P$24,AJ$3,FALSE),0)</f>
        <v>0</v>
      </c>
      <c r="AK27" s="86">
        <f>+IFERROR(VLOOKUP($AF27,'Limited Loss'!$F$5:$P$24,AK$3,FALSE),0)</f>
        <v>0</v>
      </c>
      <c r="AL27" s="150">
        <f>+IFERROR(VLOOKUP($AF27,'Limited Loss'!$F$5:$P$24,AL$3,FALSE),0)</f>
        <v>0</v>
      </c>
      <c r="AM27" s="150">
        <f>+IFERROR(VLOOKUP($AF27,'Limited Loss'!$F$5:$P$24,AM$3,FALSE),0)</f>
        <v>0</v>
      </c>
      <c r="AN27" s="150">
        <f>+IFERROR(VLOOKUP($AF27,'Limited Loss'!$F$5:$P$24,AN$3,FALSE),0)</f>
        <v>0</v>
      </c>
      <c r="AO27" s="150">
        <f>+IFERROR(VLOOKUP($AF27,'Limited Loss'!$F$5:$P$24,AO$3,FALSE),0)</f>
        <v>0</v>
      </c>
      <c r="AP27" s="86">
        <f>+IFERROR(VLOOKUP($AF27,'Limited Loss'!$F$5:$P$24,AP$3,FALSE),0)</f>
        <v>0</v>
      </c>
      <c r="AQ27" s="150"/>
      <c r="AR27" s="59" t="str">
        <f t="shared" si="27"/>
        <v>7309F</v>
      </c>
      <c r="AS27" s="188">
        <f t="shared" si="28"/>
        <v>2018</v>
      </c>
      <c r="AT27" s="247">
        <f t="shared" si="29"/>
        <v>0</v>
      </c>
      <c r="AU27" s="247">
        <f t="shared" si="30"/>
        <v>0</v>
      </c>
      <c r="AV27" s="247">
        <f t="shared" si="31"/>
        <v>0</v>
      </c>
      <c r="AW27" s="247">
        <f t="shared" si="32"/>
        <v>0</v>
      </c>
      <c r="AX27" s="248">
        <f t="shared" si="33"/>
        <v>28457.500000000004</v>
      </c>
      <c r="AY27" s="247">
        <f t="shared" si="34"/>
        <v>0</v>
      </c>
      <c r="AZ27" s="247">
        <f t="shared" si="35"/>
        <v>0</v>
      </c>
      <c r="BA27" s="247">
        <f t="shared" si="36"/>
        <v>0</v>
      </c>
      <c r="BB27" s="247">
        <f t="shared" si="37"/>
        <v>0</v>
      </c>
      <c r="BC27" s="247">
        <f t="shared" si="38"/>
        <v>5128</v>
      </c>
      <c r="BD27" s="248">
        <f t="shared" si="39"/>
        <v>421.99799999999999</v>
      </c>
      <c r="BE27" s="247">
        <f t="shared" si="40"/>
        <v>0</v>
      </c>
      <c r="BF27" s="150">
        <f t="shared" si="41"/>
        <v>33585.5</v>
      </c>
      <c r="BG27" s="86">
        <f t="shared" si="42"/>
        <v>421.99799999999999</v>
      </c>
      <c r="BI27"/>
      <c r="BJ27"/>
      <c r="BK27"/>
      <c r="BL27"/>
    </row>
    <row r="28" spans="1:64" ht="14.6">
      <c r="A28" s="44" t="str">
        <f t="shared" si="25"/>
        <v>7313F2018</v>
      </c>
      <c r="B28" s="44" t="str">
        <f>Data_Loss!X25</f>
        <v>7313F</v>
      </c>
      <c r="C28" s="289">
        <f>Data_Loss!E25</f>
        <v>2018</v>
      </c>
      <c r="D28" s="150">
        <f>+IFERROR(VLOOKUP($A28,Data_Loss!$A$2:$V$100,6,FALSE),0)</f>
        <v>0</v>
      </c>
      <c r="E28" s="150">
        <f>+IFERROR(VLOOKUP($A28,Data_Loss!$A$2:$V$100,7,FALSE),0)</f>
        <v>0</v>
      </c>
      <c r="F28" s="150">
        <f>+IFERROR(VLOOKUP($A28,Data_Loss!$A$2:$V$100,8,FALSE),0)</f>
        <v>0</v>
      </c>
      <c r="G28" s="150">
        <f>+IFERROR(VLOOKUP($A28,Data_Loss!$A$2:$V$100,9,FALSE),0)</f>
        <v>1</v>
      </c>
      <c r="H28" s="150">
        <f>+IFERROR(VLOOKUP($A28,Data_Loss!$A$2:$V$100,10,FALSE),0)</f>
        <v>2</v>
      </c>
      <c r="I28" s="150">
        <f>+IFERROR(VLOOKUP($A28,Data_Loss!$A$2:$V$100,12,FALSE),0)</f>
        <v>0</v>
      </c>
      <c r="J28" s="150">
        <f>+IFERROR(VLOOKUP($A28,Data_Loss!$A$2:$V$100,13,FALSE),0)</f>
        <v>0</v>
      </c>
      <c r="K28" s="150">
        <f>+IFERROR(VLOOKUP($A28,Data_Loss!$A$2:$V$100,14,FALSE),0)</f>
        <v>0</v>
      </c>
      <c r="L28" s="150">
        <f>+IFERROR(VLOOKUP($A28,Data_Loss!$A$2:$V$100,15,FALSE),0)</f>
        <v>35568</v>
      </c>
      <c r="M28" s="150">
        <f>+IFERROR(VLOOKUP($A28,Data_Loss!$A$2:$V$100,16,FALSE),0)</f>
        <v>6261</v>
      </c>
      <c r="N28" s="150">
        <f>+IFERROR(VLOOKUP($A28,Data_Loss!$A$2:$V$100,17,FALSE),0)</f>
        <v>0</v>
      </c>
      <c r="O28" s="150">
        <f>+IFERROR(VLOOKUP($A28,Data_Loss!$A$2:$V$100,18,FALSE),0)</f>
        <v>0</v>
      </c>
      <c r="P28" s="150">
        <f>+IFERROR(VLOOKUP($A28,Data_Loss!$A$2:$V$100,19,FALSE),0)</f>
        <v>0</v>
      </c>
      <c r="Q28" s="150">
        <f>+IFERROR(VLOOKUP($A28,Data_Loss!$A$2:$V$100,20,FALSE),0)</f>
        <v>0</v>
      </c>
      <c r="R28" s="150">
        <f>+IFERROR(VLOOKUP($A28,Data_Loss!$A$2:$V$100,21,FALSE),0)</f>
        <v>28115</v>
      </c>
      <c r="S28" s="150">
        <f>+IFERROR(VLOOKUP($A28,Data_Loss!$A$2:$V$100,22,FALSE),0)</f>
        <v>9427</v>
      </c>
      <c r="T28" s="580" cm="1">
        <f t="array" ref="T28">MMULT($I28:$M28,_xlfn._xlws.FILTER('10k &amp; MO'!C$3:C$31,'10k &amp; MO'!$B$3:$B$31=$C28,"0"))</f>
        <v>0</v>
      </c>
      <c r="U28" s="247" cm="1">
        <f t="array" ref="U28">MMULT($I28:$M28,_xlfn._xlws.FILTER('10k &amp; MO'!D$3:D$31,'10k &amp; MO'!$B$3:$B$31=$C28,"0"))</f>
        <v>0</v>
      </c>
      <c r="V28" s="247" cm="1">
        <f t="array" ref="V28">MMULT($I28:$M28,_xlfn._xlws.FILTER('10k &amp; MO'!E$3:E$31,'10k &amp; MO'!$B$3:$B$31=$C28,"0"))</f>
        <v>0</v>
      </c>
      <c r="W28" s="247" cm="1">
        <f t="array" ref="W28">MMULT($I28:$M28,_xlfn._xlws.FILTER('10k &amp; MO'!F$3:F$31,'10k &amp; MO'!$B$3:$B$31=$C28,"0"))</f>
        <v>80974.108800000002</v>
      </c>
      <c r="X28" s="247" cm="1">
        <f t="array" ref="X28">MMULT($I28:$M28,_xlfn._xlws.FILTER('10k &amp; MO'!G$3:G$31,'10k &amp; MO'!$B$3:$B$31=$C28,"0"))</f>
        <v>14253.792600000001</v>
      </c>
      <c r="Y28" s="148" cm="1">
        <f t="array" ref="Y28">MMULT($N28:$R28,_xlfn._xlws.FILTER('10k &amp; MO'!H$3:H$31,'10k &amp; MO'!$B$3:$B$31=$C28,"0"))</f>
        <v>0</v>
      </c>
      <c r="Z28" s="247" cm="1">
        <f t="array" ref="Z28">MMULT($N28:$R28,_xlfn._xlws.FILTER('10k &amp; MO'!I$3:I$31,'10k &amp; MO'!$B$3:$B$31=$C28,"0"))</f>
        <v>0</v>
      </c>
      <c r="AA28" s="247" cm="1">
        <f t="array" ref="AA28">MMULT($N28:$R28,_xlfn._xlws.FILTER('10k &amp; MO'!J$3:J$31,'10k &amp; MO'!$B$3:$B$31=$C28,"0"))</f>
        <v>0</v>
      </c>
      <c r="AB28" s="247" cm="1">
        <f t="array" ref="AB28">MMULT($N28:$R28,_xlfn._xlws.FILTER('10k &amp; MO'!K$3:K$31,'10k &amp; MO'!$B$3:$B$31=$C28,"0"))</f>
        <v>0</v>
      </c>
      <c r="AC28" s="248" cm="1">
        <f t="array" ref="AC28">MMULT($N28:$R28,_xlfn._xlws.FILTER('10k &amp; MO'!L$3:L$31,'10k &amp; MO'!$B$3:$B$31=$C28,"0"))</f>
        <v>57669.488000000005</v>
      </c>
      <c r="AD28" s="248">
        <f>S28*_xlfn.XLOOKUP(C28,'10k &amp; MO'!$N$3:$N$7,'10k &amp; MO'!$O$3:$O$7)</f>
        <v>10869.331</v>
      </c>
      <c r="AF28" s="149" t="str">
        <f t="shared" si="26"/>
        <v>7313F2018</v>
      </c>
      <c r="AG28" s="149">
        <f>+IFERROR(VLOOKUP($AF28,'Limited Loss'!$F$5:$P$24,AG$3,FALSE),0)</f>
        <v>0</v>
      </c>
      <c r="AH28" s="150">
        <f>+IFERROR(VLOOKUP($AF28,'Limited Loss'!$F$5:$P$24,AH$3,FALSE),0)</f>
        <v>0</v>
      </c>
      <c r="AI28" s="150">
        <f>+IFERROR(VLOOKUP($AF28,'Limited Loss'!$F$5:$P$24,AI$3,FALSE),0)</f>
        <v>0</v>
      </c>
      <c r="AJ28" s="150">
        <f>+IFERROR(VLOOKUP($AF28,'Limited Loss'!$F$5:$P$24,AJ$3,FALSE),0)</f>
        <v>0</v>
      </c>
      <c r="AK28" s="86">
        <f>+IFERROR(VLOOKUP($AF28,'Limited Loss'!$F$5:$P$24,AK$3,FALSE),0)</f>
        <v>0</v>
      </c>
      <c r="AL28" s="150">
        <f>+IFERROR(VLOOKUP($AF28,'Limited Loss'!$F$5:$P$24,AL$3,FALSE),0)</f>
        <v>0</v>
      </c>
      <c r="AM28" s="150">
        <f>+IFERROR(VLOOKUP($AF28,'Limited Loss'!$F$5:$P$24,AM$3,FALSE),0)</f>
        <v>0</v>
      </c>
      <c r="AN28" s="150">
        <f>+IFERROR(VLOOKUP($AF28,'Limited Loss'!$F$5:$P$24,AN$3,FALSE),0)</f>
        <v>0</v>
      </c>
      <c r="AO28" s="150">
        <f>+IFERROR(VLOOKUP($AF28,'Limited Loss'!$F$5:$P$24,AO$3,FALSE),0)</f>
        <v>0</v>
      </c>
      <c r="AP28" s="86">
        <f>+IFERROR(VLOOKUP($AF28,'Limited Loss'!$F$5:$P$24,AP$3,FALSE),0)</f>
        <v>0</v>
      </c>
      <c r="AQ28" s="150"/>
      <c r="AR28" s="59" t="str">
        <f t="shared" si="27"/>
        <v>7313F</v>
      </c>
      <c r="AS28" s="188">
        <f t="shared" si="28"/>
        <v>2018</v>
      </c>
      <c r="AT28" s="247">
        <f t="shared" si="29"/>
        <v>0</v>
      </c>
      <c r="AU28" s="247">
        <f t="shared" si="30"/>
        <v>0</v>
      </c>
      <c r="AV28" s="247">
        <f t="shared" si="31"/>
        <v>0</v>
      </c>
      <c r="AW28" s="247">
        <f t="shared" si="32"/>
        <v>80974.108800000002</v>
      </c>
      <c r="AX28" s="248">
        <f t="shared" si="33"/>
        <v>14253.792600000001</v>
      </c>
      <c r="AY28" s="247">
        <f t="shared" si="34"/>
        <v>0</v>
      </c>
      <c r="AZ28" s="247">
        <f t="shared" si="35"/>
        <v>0</v>
      </c>
      <c r="BA28" s="247">
        <f t="shared" si="36"/>
        <v>0</v>
      </c>
      <c r="BB28" s="247">
        <f t="shared" si="37"/>
        <v>0</v>
      </c>
      <c r="BC28" s="247">
        <f t="shared" si="38"/>
        <v>57669.488000000005</v>
      </c>
      <c r="BD28" s="248">
        <f t="shared" si="39"/>
        <v>10869.331</v>
      </c>
      <c r="BE28" s="247">
        <f t="shared" si="40"/>
        <v>0</v>
      </c>
      <c r="BF28" s="150">
        <f t="shared" si="41"/>
        <v>152897.38940000001</v>
      </c>
      <c r="BG28" s="86">
        <f t="shared" si="42"/>
        <v>10869.331</v>
      </c>
      <c r="BI28"/>
      <c r="BJ28"/>
      <c r="BK28"/>
      <c r="BL28"/>
    </row>
    <row r="29" spans="1:64" ht="14.6">
      <c r="A29" s="44" t="str">
        <f t="shared" si="25"/>
        <v>7317F2018</v>
      </c>
      <c r="B29" s="44" t="str">
        <f>Data_Loss!X26</f>
        <v>7317F</v>
      </c>
      <c r="C29" s="289">
        <f>Data_Loss!E26</f>
        <v>2018</v>
      </c>
      <c r="D29" s="150">
        <f>+IFERROR(VLOOKUP($A29,Data_Loss!$A$2:$V$100,6,FALSE),0)</f>
        <v>0</v>
      </c>
      <c r="E29" s="150">
        <f>+IFERROR(VLOOKUP($A29,Data_Loss!$A$2:$V$100,7,FALSE),0)</f>
        <v>0</v>
      </c>
      <c r="F29" s="150">
        <f>+IFERROR(VLOOKUP($A29,Data_Loss!$A$2:$V$100,8,FALSE),0)</f>
        <v>0</v>
      </c>
      <c r="G29" s="150">
        <f>+IFERROR(VLOOKUP($A29,Data_Loss!$A$2:$V$100,9,FALSE),0)</f>
        <v>0</v>
      </c>
      <c r="H29" s="150">
        <f>+IFERROR(VLOOKUP($A29,Data_Loss!$A$2:$V$100,10,FALSE),0)</f>
        <v>1</v>
      </c>
      <c r="I29" s="150">
        <f>+IFERROR(VLOOKUP($A29,Data_Loss!$A$2:$V$100,12,FALSE),0)</f>
        <v>0</v>
      </c>
      <c r="J29" s="150">
        <f>+IFERROR(VLOOKUP($A29,Data_Loss!$A$2:$V$100,13,FALSE),0)</f>
        <v>0</v>
      </c>
      <c r="K29" s="150">
        <f>+IFERROR(VLOOKUP($A29,Data_Loss!$A$2:$V$100,14,FALSE),0)</f>
        <v>0</v>
      </c>
      <c r="L29" s="150">
        <f>+IFERROR(VLOOKUP($A29,Data_Loss!$A$2:$V$100,15,FALSE),0)</f>
        <v>0</v>
      </c>
      <c r="M29" s="150">
        <f>+IFERROR(VLOOKUP($A29,Data_Loss!$A$2:$V$100,16,FALSE),0)</f>
        <v>1416</v>
      </c>
      <c r="N29" s="150">
        <f>+IFERROR(VLOOKUP($A29,Data_Loss!$A$2:$V$100,17,FALSE),0)</f>
        <v>0</v>
      </c>
      <c r="O29" s="150">
        <f>+IFERROR(VLOOKUP($A29,Data_Loss!$A$2:$V$100,18,FALSE),0)</f>
        <v>0</v>
      </c>
      <c r="P29" s="150">
        <f>+IFERROR(VLOOKUP($A29,Data_Loss!$A$2:$V$100,19,FALSE),0)</f>
        <v>0</v>
      </c>
      <c r="Q29" s="150">
        <f>+IFERROR(VLOOKUP($A29,Data_Loss!$A$2:$V$100,20,FALSE),0)</f>
        <v>0</v>
      </c>
      <c r="R29" s="150">
        <f>+IFERROR(VLOOKUP($A29,Data_Loss!$A$2:$V$100,21,FALSE),0)</f>
        <v>645</v>
      </c>
      <c r="S29" s="150">
        <f>+IFERROR(VLOOKUP($A29,Data_Loss!$A$2:$V$100,22,FALSE),0)</f>
        <v>468</v>
      </c>
      <c r="T29" s="580" cm="1">
        <f t="array" ref="T29">MMULT($I29:$M29,_xlfn._xlws.FILTER('10k &amp; MO'!C$3:C$31,'10k &amp; MO'!$B$3:$B$31=$C29,"0"))</f>
        <v>0</v>
      </c>
      <c r="U29" s="247" cm="1">
        <f t="array" ref="U29">MMULT($I29:$M29,_xlfn._xlws.FILTER('10k &amp; MO'!D$3:D$31,'10k &amp; MO'!$B$3:$B$31=$C29,"0"))</f>
        <v>0</v>
      </c>
      <c r="V29" s="247" cm="1">
        <f t="array" ref="V29">MMULT($I29:$M29,_xlfn._xlws.FILTER('10k &amp; MO'!E$3:E$31,'10k &amp; MO'!$B$3:$B$31=$C29,"0"))</f>
        <v>0</v>
      </c>
      <c r="W29" s="247" cm="1">
        <f t="array" ref="W29">MMULT($I29:$M29,_xlfn._xlws.FILTER('10k &amp; MO'!F$3:F$31,'10k &amp; MO'!$B$3:$B$31=$C29,"0"))</f>
        <v>0</v>
      </c>
      <c r="X29" s="247" cm="1">
        <f t="array" ref="X29">MMULT($I29:$M29,_xlfn._xlws.FILTER('10k &amp; MO'!G$3:G$31,'10k &amp; MO'!$B$3:$B$31=$C29,"0"))</f>
        <v>3223.6656000000003</v>
      </c>
      <c r="Y29" s="148" cm="1">
        <f t="array" ref="Y29">MMULT($N29:$R29,_xlfn._xlws.FILTER('10k &amp; MO'!H$3:H$31,'10k &amp; MO'!$B$3:$B$31=$C29,"0"))</f>
        <v>0</v>
      </c>
      <c r="Z29" s="247" cm="1">
        <f t="array" ref="Z29">MMULT($N29:$R29,_xlfn._xlws.FILTER('10k &amp; MO'!I$3:I$31,'10k &amp; MO'!$B$3:$B$31=$C29,"0"))</f>
        <v>0</v>
      </c>
      <c r="AA29" s="247" cm="1">
        <f t="array" ref="AA29">MMULT($N29:$R29,_xlfn._xlws.FILTER('10k &amp; MO'!J$3:J$31,'10k &amp; MO'!$B$3:$B$31=$C29,"0"))</f>
        <v>0</v>
      </c>
      <c r="AB29" s="247" cm="1">
        <f t="array" ref="AB29">MMULT($N29:$R29,_xlfn._xlws.FILTER('10k &amp; MO'!K$3:K$31,'10k &amp; MO'!$B$3:$B$31=$C29,"0"))</f>
        <v>0</v>
      </c>
      <c r="AC29" s="248" cm="1">
        <f t="array" ref="AC29">MMULT($N29:$R29,_xlfn._xlws.FILTER('10k &amp; MO'!L$3:L$31,'10k &amp; MO'!$B$3:$B$31=$C29,"0"))</f>
        <v>1323.0240000000001</v>
      </c>
      <c r="AD29" s="248">
        <f>S29*_xlfn.XLOOKUP(C29,'10k &amp; MO'!$N$3:$N$7,'10k &amp; MO'!$O$3:$O$7)</f>
        <v>539.60400000000004</v>
      </c>
      <c r="AF29" s="149" t="str">
        <f t="shared" si="26"/>
        <v>7317F2018</v>
      </c>
      <c r="AG29" s="149">
        <f>+IFERROR(VLOOKUP($AF29,'Limited Loss'!$F$5:$P$24,AG$3,FALSE),0)</f>
        <v>0</v>
      </c>
      <c r="AH29" s="150">
        <f>+IFERROR(VLOOKUP($AF29,'Limited Loss'!$F$5:$P$24,AH$3,FALSE),0)</f>
        <v>0</v>
      </c>
      <c r="AI29" s="150">
        <f>+IFERROR(VLOOKUP($AF29,'Limited Loss'!$F$5:$P$24,AI$3,FALSE),0)</f>
        <v>0</v>
      </c>
      <c r="AJ29" s="150">
        <f>+IFERROR(VLOOKUP($AF29,'Limited Loss'!$F$5:$P$24,AJ$3,FALSE),0)</f>
        <v>0</v>
      </c>
      <c r="AK29" s="86">
        <f>+IFERROR(VLOOKUP($AF29,'Limited Loss'!$F$5:$P$24,AK$3,FALSE),0)</f>
        <v>0</v>
      </c>
      <c r="AL29" s="150">
        <f>+IFERROR(VLOOKUP($AF29,'Limited Loss'!$F$5:$P$24,AL$3,FALSE),0)</f>
        <v>0</v>
      </c>
      <c r="AM29" s="150">
        <f>+IFERROR(VLOOKUP($AF29,'Limited Loss'!$F$5:$P$24,AM$3,FALSE),0)</f>
        <v>0</v>
      </c>
      <c r="AN29" s="150">
        <f>+IFERROR(VLOOKUP($AF29,'Limited Loss'!$F$5:$P$24,AN$3,FALSE),0)</f>
        <v>0</v>
      </c>
      <c r="AO29" s="150">
        <f>+IFERROR(VLOOKUP($AF29,'Limited Loss'!$F$5:$P$24,AO$3,FALSE),0)</f>
        <v>0</v>
      </c>
      <c r="AP29" s="86">
        <f>+IFERROR(VLOOKUP($AF29,'Limited Loss'!$F$5:$P$24,AP$3,FALSE),0)</f>
        <v>0</v>
      </c>
      <c r="AQ29" s="150"/>
      <c r="AR29" s="59" t="str">
        <f t="shared" si="27"/>
        <v>7317F</v>
      </c>
      <c r="AS29" s="188">
        <f t="shared" si="28"/>
        <v>2018</v>
      </c>
      <c r="AT29" s="247">
        <f t="shared" si="29"/>
        <v>0</v>
      </c>
      <c r="AU29" s="247">
        <f t="shared" si="30"/>
        <v>0</v>
      </c>
      <c r="AV29" s="247">
        <f t="shared" si="31"/>
        <v>0</v>
      </c>
      <c r="AW29" s="247">
        <f t="shared" si="32"/>
        <v>0</v>
      </c>
      <c r="AX29" s="248">
        <f t="shared" si="33"/>
        <v>3223.6656000000003</v>
      </c>
      <c r="AY29" s="247">
        <f t="shared" si="34"/>
        <v>0</v>
      </c>
      <c r="AZ29" s="247">
        <f t="shared" si="35"/>
        <v>0</v>
      </c>
      <c r="BA29" s="247">
        <f t="shared" si="36"/>
        <v>0</v>
      </c>
      <c r="BB29" s="247">
        <f t="shared" si="37"/>
        <v>0</v>
      </c>
      <c r="BC29" s="247">
        <f t="shared" si="38"/>
        <v>1323.0240000000001</v>
      </c>
      <c r="BD29" s="248">
        <f t="shared" si="39"/>
        <v>539.60400000000004</v>
      </c>
      <c r="BE29" s="247">
        <f t="shared" si="40"/>
        <v>0</v>
      </c>
      <c r="BF29" s="150">
        <f t="shared" si="41"/>
        <v>4546.6896000000006</v>
      </c>
      <c r="BG29" s="86">
        <f t="shared" si="42"/>
        <v>539.60400000000004</v>
      </c>
      <c r="BI29"/>
      <c r="BJ29"/>
      <c r="BK29"/>
      <c r="BL29"/>
    </row>
    <row r="30" spans="1:64" ht="14.6">
      <c r="A30" s="44" t="str">
        <f t="shared" si="25"/>
        <v>7327F2018</v>
      </c>
      <c r="B30" s="44" t="str">
        <f>Data_Loss!X27</f>
        <v>7327F</v>
      </c>
      <c r="C30" s="289">
        <f>Data_Loss!E27</f>
        <v>2018</v>
      </c>
      <c r="D30" s="150">
        <f>+IFERROR(VLOOKUP($A30,Data_Loss!$A$2:$V$100,6,FALSE),0)</f>
        <v>0</v>
      </c>
      <c r="E30" s="150">
        <f>+IFERROR(VLOOKUP($A30,Data_Loss!$A$2:$V$100,7,FALSE),0)</f>
        <v>0</v>
      </c>
      <c r="F30" s="150">
        <f>+IFERROR(VLOOKUP($A30,Data_Loss!$A$2:$V$100,8,FALSE),0)</f>
        <v>0</v>
      </c>
      <c r="G30" s="150">
        <f>+IFERROR(VLOOKUP($A30,Data_Loss!$A$2:$V$100,9,FALSE),0)</f>
        <v>0</v>
      </c>
      <c r="H30" s="150">
        <f>+IFERROR(VLOOKUP($A30,Data_Loss!$A$2:$V$100,10,FALSE),0)</f>
        <v>10</v>
      </c>
      <c r="I30" s="150">
        <f>+IFERROR(VLOOKUP($A30,Data_Loss!$A$2:$V$100,12,FALSE),0)</f>
        <v>0</v>
      </c>
      <c r="J30" s="150">
        <f>+IFERROR(VLOOKUP($A30,Data_Loss!$A$2:$V$100,13,FALSE),0)</f>
        <v>0</v>
      </c>
      <c r="K30" s="150">
        <f>+IFERROR(VLOOKUP($A30,Data_Loss!$A$2:$V$100,14,FALSE),0)</f>
        <v>0</v>
      </c>
      <c r="L30" s="150">
        <f>+IFERROR(VLOOKUP($A30,Data_Loss!$A$2:$V$100,15,FALSE),0)</f>
        <v>0</v>
      </c>
      <c r="M30" s="150">
        <f>+IFERROR(VLOOKUP($A30,Data_Loss!$A$2:$V$100,16,FALSE),0)</f>
        <v>136392</v>
      </c>
      <c r="N30" s="150">
        <f>+IFERROR(VLOOKUP($A30,Data_Loss!$A$2:$V$100,17,FALSE),0)</f>
        <v>0</v>
      </c>
      <c r="O30" s="150">
        <f>+IFERROR(VLOOKUP($A30,Data_Loss!$A$2:$V$100,18,FALSE),0)</f>
        <v>0</v>
      </c>
      <c r="P30" s="150">
        <f>+IFERROR(VLOOKUP($A30,Data_Loss!$A$2:$V$100,19,FALSE),0)</f>
        <v>0</v>
      </c>
      <c r="Q30" s="150">
        <f>+IFERROR(VLOOKUP($A30,Data_Loss!$A$2:$V$100,20,FALSE),0)</f>
        <v>0</v>
      </c>
      <c r="R30" s="150">
        <f>+IFERROR(VLOOKUP($A30,Data_Loss!$A$2:$V$100,21,FALSE),0)</f>
        <v>65409</v>
      </c>
      <c r="S30" s="150">
        <f>+IFERROR(VLOOKUP($A30,Data_Loss!$A$2:$V$100,22,FALSE),0)</f>
        <v>4610</v>
      </c>
      <c r="T30" s="580" cm="1">
        <f t="array" ref="T30">MMULT($I30:$M30,_xlfn._xlws.FILTER('10k &amp; MO'!C$3:C$31,'10k &amp; MO'!$B$3:$B$31=$C30,"0"))</f>
        <v>0</v>
      </c>
      <c r="U30" s="247" cm="1">
        <f t="array" ref="U30">MMULT($I30:$M30,_xlfn._xlws.FILTER('10k &amp; MO'!D$3:D$31,'10k &amp; MO'!$B$3:$B$31=$C30,"0"))</f>
        <v>0</v>
      </c>
      <c r="V30" s="247" cm="1">
        <f t="array" ref="V30">MMULT($I30:$M30,_xlfn._xlws.FILTER('10k &amp; MO'!E$3:E$31,'10k &amp; MO'!$B$3:$B$31=$C30,"0"))</f>
        <v>0</v>
      </c>
      <c r="W30" s="247" cm="1">
        <f t="array" ref="W30">MMULT($I30:$M30,_xlfn._xlws.FILTER('10k &amp; MO'!F$3:F$31,'10k &amp; MO'!$B$3:$B$31=$C30,"0"))</f>
        <v>0</v>
      </c>
      <c r="X30" s="247" cm="1">
        <f t="array" ref="X30">MMULT($I30:$M30,_xlfn._xlws.FILTER('10k &amp; MO'!G$3:G$31,'10k &amp; MO'!$B$3:$B$31=$C30,"0"))</f>
        <v>310510.02720000001</v>
      </c>
      <c r="Y30" s="148" cm="1">
        <f t="array" ref="Y30">MMULT($N30:$R30,_xlfn._xlws.FILTER('10k &amp; MO'!H$3:H$31,'10k &amp; MO'!$B$3:$B$31=$C30,"0"))</f>
        <v>0</v>
      </c>
      <c r="Z30" s="247" cm="1">
        <f t="array" ref="Z30">MMULT($N30:$R30,_xlfn._xlws.FILTER('10k &amp; MO'!I$3:I$31,'10k &amp; MO'!$B$3:$B$31=$C30,"0"))</f>
        <v>0</v>
      </c>
      <c r="AA30" s="247" cm="1">
        <f t="array" ref="AA30">MMULT($N30:$R30,_xlfn._xlws.FILTER('10k &amp; MO'!J$3:J$31,'10k &amp; MO'!$B$3:$B$31=$C30,"0"))</f>
        <v>0</v>
      </c>
      <c r="AB30" s="247" cm="1">
        <f t="array" ref="AB30">MMULT($N30:$R30,_xlfn._xlws.FILTER('10k &amp; MO'!K$3:K$31,'10k &amp; MO'!$B$3:$B$31=$C30,"0"))</f>
        <v>0</v>
      </c>
      <c r="AC30" s="248" cm="1">
        <f t="array" ref="AC30">MMULT($N30:$R30,_xlfn._xlws.FILTER('10k &amp; MO'!L$3:L$31,'10k &amp; MO'!$B$3:$B$31=$C30,"0"))</f>
        <v>134166.94080000001</v>
      </c>
      <c r="AD30" s="248">
        <f>S30*_xlfn.XLOOKUP(C30,'10k &amp; MO'!$N$3:$N$7,'10k &amp; MO'!$O$3:$O$7)</f>
        <v>5315.33</v>
      </c>
      <c r="AF30" s="149" t="str">
        <f t="shared" si="26"/>
        <v>7327F2018</v>
      </c>
      <c r="AG30" s="149">
        <f>+IFERROR(VLOOKUP($AF30,'Limited Loss'!$F$5:$P$24,AG$3,FALSE),0)</f>
        <v>0</v>
      </c>
      <c r="AH30" s="150">
        <f>+IFERROR(VLOOKUP($AF30,'Limited Loss'!$F$5:$P$24,AH$3,FALSE),0)</f>
        <v>0</v>
      </c>
      <c r="AI30" s="150">
        <f>+IFERROR(VLOOKUP($AF30,'Limited Loss'!$F$5:$P$24,AI$3,FALSE),0)</f>
        <v>0</v>
      </c>
      <c r="AJ30" s="150">
        <f>+IFERROR(VLOOKUP($AF30,'Limited Loss'!$F$5:$P$24,AJ$3,FALSE),0)</f>
        <v>0</v>
      </c>
      <c r="AK30" s="86">
        <f>+IFERROR(VLOOKUP($AF30,'Limited Loss'!$F$5:$P$24,AK$3,FALSE),0)</f>
        <v>0</v>
      </c>
      <c r="AL30" s="150">
        <f>+IFERROR(VLOOKUP($AF30,'Limited Loss'!$F$5:$P$24,AL$3,FALSE),0)</f>
        <v>0</v>
      </c>
      <c r="AM30" s="150">
        <f>+IFERROR(VLOOKUP($AF30,'Limited Loss'!$F$5:$P$24,AM$3,FALSE),0)</f>
        <v>0</v>
      </c>
      <c r="AN30" s="150">
        <f>+IFERROR(VLOOKUP($AF30,'Limited Loss'!$F$5:$P$24,AN$3,FALSE),0)</f>
        <v>0</v>
      </c>
      <c r="AO30" s="150">
        <f>+IFERROR(VLOOKUP($AF30,'Limited Loss'!$F$5:$P$24,AO$3,FALSE),0)</f>
        <v>0</v>
      </c>
      <c r="AP30" s="86">
        <f>+IFERROR(VLOOKUP($AF30,'Limited Loss'!$F$5:$P$24,AP$3,FALSE),0)</f>
        <v>0</v>
      </c>
      <c r="AQ30" s="150"/>
      <c r="AR30" s="59" t="str">
        <f t="shared" si="27"/>
        <v>7327F</v>
      </c>
      <c r="AS30" s="188">
        <f t="shared" si="28"/>
        <v>2018</v>
      </c>
      <c r="AT30" s="247">
        <f t="shared" si="29"/>
        <v>0</v>
      </c>
      <c r="AU30" s="247">
        <f t="shared" si="30"/>
        <v>0</v>
      </c>
      <c r="AV30" s="247">
        <f t="shared" si="31"/>
        <v>0</v>
      </c>
      <c r="AW30" s="247">
        <f t="shared" si="32"/>
        <v>0</v>
      </c>
      <c r="AX30" s="248">
        <f t="shared" si="33"/>
        <v>310510.02720000001</v>
      </c>
      <c r="AY30" s="247">
        <f t="shared" si="34"/>
        <v>0</v>
      </c>
      <c r="AZ30" s="247">
        <f t="shared" si="35"/>
        <v>0</v>
      </c>
      <c r="BA30" s="247">
        <f t="shared" si="36"/>
        <v>0</v>
      </c>
      <c r="BB30" s="247">
        <f t="shared" si="37"/>
        <v>0</v>
      </c>
      <c r="BC30" s="247">
        <f t="shared" si="38"/>
        <v>134166.94080000001</v>
      </c>
      <c r="BD30" s="248">
        <f t="shared" si="39"/>
        <v>5315.33</v>
      </c>
      <c r="BE30" s="247">
        <f t="shared" si="40"/>
        <v>0</v>
      </c>
      <c r="BF30" s="150">
        <f t="shared" si="41"/>
        <v>444676.96799999999</v>
      </c>
      <c r="BG30" s="86">
        <f t="shared" si="42"/>
        <v>5315.33</v>
      </c>
      <c r="BI30"/>
      <c r="BJ30"/>
      <c r="BK30"/>
      <c r="BL30"/>
    </row>
    <row r="31" spans="1:64" ht="14.6">
      <c r="A31" s="44" t="str">
        <f t="shared" si="25"/>
        <v>7366F2018</v>
      </c>
      <c r="B31" s="44" t="str">
        <f>Data_Loss!X28</f>
        <v>7366F</v>
      </c>
      <c r="C31" s="289">
        <f>Data_Loss!E28</f>
        <v>2018</v>
      </c>
      <c r="D31" s="150">
        <f>+IFERROR(VLOOKUP($A31,Data_Loss!$A$2:$V$100,6,FALSE),0)</f>
        <v>0</v>
      </c>
      <c r="E31" s="150">
        <f>+IFERROR(VLOOKUP($A31,Data_Loss!$A$2:$V$100,7,FALSE),0)</f>
        <v>0</v>
      </c>
      <c r="F31" s="150">
        <f>+IFERROR(VLOOKUP($A31,Data_Loss!$A$2:$V$100,8,FALSE),0)</f>
        <v>0</v>
      </c>
      <c r="G31" s="150">
        <f>+IFERROR(VLOOKUP($A31,Data_Loss!$A$2:$V$100,9,FALSE),0)</f>
        <v>2</v>
      </c>
      <c r="H31" s="150">
        <f>+IFERROR(VLOOKUP($A31,Data_Loss!$A$2:$V$100,10,FALSE),0)</f>
        <v>7</v>
      </c>
      <c r="I31" s="150">
        <f>+IFERROR(VLOOKUP($A31,Data_Loss!$A$2:$V$100,12,FALSE),0)</f>
        <v>0</v>
      </c>
      <c r="J31" s="150">
        <f>+IFERROR(VLOOKUP($A31,Data_Loss!$A$2:$V$100,13,FALSE),0)</f>
        <v>0</v>
      </c>
      <c r="K31" s="150">
        <f>+IFERROR(VLOOKUP($A31,Data_Loss!$A$2:$V$100,14,FALSE),0)</f>
        <v>0</v>
      </c>
      <c r="L31" s="150">
        <f>+IFERROR(VLOOKUP($A31,Data_Loss!$A$2:$V$100,15,FALSE),0)</f>
        <v>234237</v>
      </c>
      <c r="M31" s="150">
        <f>+IFERROR(VLOOKUP($A31,Data_Loss!$A$2:$V$100,16,FALSE),0)</f>
        <v>133108</v>
      </c>
      <c r="N31" s="150">
        <f>+IFERROR(VLOOKUP($A31,Data_Loss!$A$2:$V$100,17,FALSE),0)</f>
        <v>0</v>
      </c>
      <c r="O31" s="150">
        <f>+IFERROR(VLOOKUP($A31,Data_Loss!$A$2:$V$100,18,FALSE),0)</f>
        <v>0</v>
      </c>
      <c r="P31" s="150">
        <f>+IFERROR(VLOOKUP($A31,Data_Loss!$A$2:$V$100,19,FALSE),0)</f>
        <v>0</v>
      </c>
      <c r="Q31" s="150">
        <f>+IFERROR(VLOOKUP($A31,Data_Loss!$A$2:$V$100,20,FALSE),0)</f>
        <v>85809</v>
      </c>
      <c r="R31" s="150">
        <f>+IFERROR(VLOOKUP($A31,Data_Loss!$A$2:$V$100,21,FALSE),0)</f>
        <v>38637</v>
      </c>
      <c r="S31" s="150">
        <f>+IFERROR(VLOOKUP($A31,Data_Loss!$A$2:$V$100,22,FALSE),0)</f>
        <v>9650</v>
      </c>
      <c r="T31" s="580" cm="1">
        <f t="array" ref="T31">MMULT($I31:$M31,_xlfn._xlws.FILTER('10k &amp; MO'!C$3:C$31,'10k &amp; MO'!$B$3:$B$31=$C31,"0"))</f>
        <v>0</v>
      </c>
      <c r="U31" s="247" cm="1">
        <f t="array" ref="U31">MMULT($I31:$M31,_xlfn._xlws.FILTER('10k &amp; MO'!D$3:D$31,'10k &amp; MO'!$B$3:$B$31=$C31,"0"))</f>
        <v>0</v>
      </c>
      <c r="V31" s="247" cm="1">
        <f t="array" ref="V31">MMULT($I31:$M31,_xlfn._xlws.FILTER('10k &amp; MO'!E$3:E$31,'10k &amp; MO'!$B$3:$B$31=$C31,"0"))</f>
        <v>0</v>
      </c>
      <c r="W31" s="247" cm="1">
        <f t="array" ref="W31">MMULT($I31:$M31,_xlfn._xlws.FILTER('10k &amp; MO'!F$3:F$31,'10k &amp; MO'!$B$3:$B$31=$C31,"0"))</f>
        <v>533263.95420000004</v>
      </c>
      <c r="X31" s="247" cm="1">
        <f t="array" ref="X31">MMULT($I31:$M31,_xlfn._xlws.FILTER('10k &amp; MO'!G$3:G$31,'10k &amp; MO'!$B$3:$B$31=$C31,"0"))</f>
        <v>303033.6728</v>
      </c>
      <c r="Y31" s="148" cm="1">
        <f t="array" ref="Y31">MMULT($N31:$R31,_xlfn._xlws.FILTER('10k &amp; MO'!H$3:H$31,'10k &amp; MO'!$B$3:$B$31=$C31,"0"))</f>
        <v>0</v>
      </c>
      <c r="Z31" s="247" cm="1">
        <f t="array" ref="Z31">MMULT($N31:$R31,_xlfn._xlws.FILTER('10k &amp; MO'!I$3:I$31,'10k &amp; MO'!$B$3:$B$31=$C31,"0"))</f>
        <v>0</v>
      </c>
      <c r="AA31" s="247" cm="1">
        <f t="array" ref="AA31">MMULT($N31:$R31,_xlfn._xlws.FILTER('10k &amp; MO'!J$3:J$31,'10k &amp; MO'!$B$3:$B$31=$C31,"0"))</f>
        <v>0</v>
      </c>
      <c r="AB31" s="247" cm="1">
        <f t="array" ref="AB31">MMULT($N31:$R31,_xlfn._xlws.FILTER('10k &amp; MO'!K$3:K$31,'10k &amp; MO'!$B$3:$B$31=$C31,"0"))</f>
        <v>176011.42080000002</v>
      </c>
      <c r="AC31" s="248" cm="1">
        <f t="array" ref="AC31">MMULT($N31:$R31,_xlfn._xlws.FILTER('10k &amp; MO'!L$3:L$31,'10k &amp; MO'!$B$3:$B$31=$C31,"0"))</f>
        <v>79252.214400000012</v>
      </c>
      <c r="AD31" s="248">
        <f>S31*_xlfn.XLOOKUP(C31,'10k &amp; MO'!$N$3:$N$7,'10k &amp; MO'!$O$3:$O$7)</f>
        <v>11126.45</v>
      </c>
      <c r="AF31" s="149" t="str">
        <f t="shared" si="26"/>
        <v>7366F2018</v>
      </c>
      <c r="AG31" s="149">
        <f>+IFERROR(VLOOKUP($AF31,'Limited Loss'!$F$5:$P$24,AG$3,FALSE),0)</f>
        <v>0</v>
      </c>
      <c r="AH31" s="150">
        <f>+IFERROR(VLOOKUP($AF31,'Limited Loss'!$F$5:$P$24,AH$3,FALSE),0)</f>
        <v>0</v>
      </c>
      <c r="AI31" s="150">
        <f>+IFERROR(VLOOKUP($AF31,'Limited Loss'!$F$5:$P$24,AI$3,FALSE),0)</f>
        <v>0</v>
      </c>
      <c r="AJ31" s="150">
        <f>+IFERROR(VLOOKUP($AF31,'Limited Loss'!$F$5:$P$24,AJ$3,FALSE),0)</f>
        <v>0</v>
      </c>
      <c r="AK31" s="86">
        <f>+IFERROR(VLOOKUP($AF31,'Limited Loss'!$F$5:$P$24,AK$3,FALSE),0)</f>
        <v>0</v>
      </c>
      <c r="AL31" s="150">
        <f>+IFERROR(VLOOKUP($AF31,'Limited Loss'!$F$5:$P$24,AL$3,FALSE),0)</f>
        <v>0</v>
      </c>
      <c r="AM31" s="150">
        <f>+IFERROR(VLOOKUP($AF31,'Limited Loss'!$F$5:$P$24,AM$3,FALSE),0)</f>
        <v>0</v>
      </c>
      <c r="AN31" s="150">
        <f>+IFERROR(VLOOKUP($AF31,'Limited Loss'!$F$5:$P$24,AN$3,FALSE),0)</f>
        <v>0</v>
      </c>
      <c r="AO31" s="150">
        <f>+IFERROR(VLOOKUP($AF31,'Limited Loss'!$F$5:$P$24,AO$3,FALSE),0)</f>
        <v>0</v>
      </c>
      <c r="AP31" s="86">
        <f>+IFERROR(VLOOKUP($AF31,'Limited Loss'!$F$5:$P$24,AP$3,FALSE),0)</f>
        <v>0</v>
      </c>
      <c r="AQ31" s="150"/>
      <c r="AR31" s="59" t="str">
        <f t="shared" si="27"/>
        <v>7366F</v>
      </c>
      <c r="AS31" s="188">
        <f t="shared" si="28"/>
        <v>2018</v>
      </c>
      <c r="AT31" s="247">
        <f t="shared" si="29"/>
        <v>0</v>
      </c>
      <c r="AU31" s="247">
        <f t="shared" si="30"/>
        <v>0</v>
      </c>
      <c r="AV31" s="247">
        <f t="shared" si="31"/>
        <v>0</v>
      </c>
      <c r="AW31" s="247">
        <f t="shared" si="32"/>
        <v>533263.95420000004</v>
      </c>
      <c r="AX31" s="248">
        <f t="shared" si="33"/>
        <v>303033.6728</v>
      </c>
      <c r="AY31" s="247">
        <f t="shared" si="34"/>
        <v>0</v>
      </c>
      <c r="AZ31" s="247">
        <f t="shared" si="35"/>
        <v>0</v>
      </c>
      <c r="BA31" s="247">
        <f t="shared" si="36"/>
        <v>0</v>
      </c>
      <c r="BB31" s="247">
        <f t="shared" si="37"/>
        <v>176011.42080000002</v>
      </c>
      <c r="BC31" s="247">
        <f t="shared" si="38"/>
        <v>79252.214400000012</v>
      </c>
      <c r="BD31" s="248">
        <f t="shared" si="39"/>
        <v>11126.45</v>
      </c>
      <c r="BE31" s="247">
        <f t="shared" si="40"/>
        <v>0</v>
      </c>
      <c r="BF31" s="150">
        <f t="shared" si="41"/>
        <v>1091561.2622</v>
      </c>
      <c r="BG31" s="86">
        <f t="shared" si="42"/>
        <v>11126.45</v>
      </c>
      <c r="BI31"/>
      <c r="BJ31"/>
      <c r="BK31"/>
      <c r="BL31"/>
    </row>
    <row r="32" spans="1:64" ht="14.6">
      <c r="A32" s="44" t="str">
        <f t="shared" si="25"/>
        <v>8709F2018</v>
      </c>
      <c r="B32" s="44" t="str">
        <f>Data_Loss!X29</f>
        <v>8709F</v>
      </c>
      <c r="C32" s="289">
        <f>Data_Loss!E29</f>
        <v>2018</v>
      </c>
      <c r="D32" s="150">
        <f>+IFERROR(VLOOKUP($A32,Data_Loss!$A$2:$V$100,6,FALSE),0)</f>
        <v>0</v>
      </c>
      <c r="E32" s="150">
        <f>+IFERROR(VLOOKUP($A32,Data_Loss!$A$2:$V$100,7,FALSE),0)</f>
        <v>0</v>
      </c>
      <c r="F32" s="150">
        <f>+IFERROR(VLOOKUP($A32,Data_Loss!$A$2:$V$100,8,FALSE),0)</f>
        <v>0</v>
      </c>
      <c r="G32" s="150">
        <f>+IFERROR(VLOOKUP($A32,Data_Loss!$A$2:$V$100,9,FALSE),0)</f>
        <v>0</v>
      </c>
      <c r="H32" s="150">
        <f>+IFERROR(VLOOKUP($A32,Data_Loss!$A$2:$V$100,10,FALSE),0)</f>
        <v>2</v>
      </c>
      <c r="I32" s="150">
        <f>+IFERROR(VLOOKUP($A32,Data_Loss!$A$2:$V$100,12,FALSE),0)</f>
        <v>0</v>
      </c>
      <c r="J32" s="150">
        <f>+IFERROR(VLOOKUP($A32,Data_Loss!$A$2:$V$100,13,FALSE),0)</f>
        <v>0</v>
      </c>
      <c r="K32" s="150">
        <f>+IFERROR(VLOOKUP($A32,Data_Loss!$A$2:$V$100,14,FALSE),0)</f>
        <v>0</v>
      </c>
      <c r="L32" s="150">
        <f>+IFERROR(VLOOKUP($A32,Data_Loss!$A$2:$V$100,15,FALSE),0)</f>
        <v>0</v>
      </c>
      <c r="M32" s="150">
        <f>+IFERROR(VLOOKUP($A32,Data_Loss!$A$2:$V$100,16,FALSE),0)</f>
        <v>43987</v>
      </c>
      <c r="N32" s="150">
        <f>+IFERROR(VLOOKUP($A32,Data_Loss!$A$2:$V$100,17,FALSE),0)</f>
        <v>0</v>
      </c>
      <c r="O32" s="150">
        <f>+IFERROR(VLOOKUP($A32,Data_Loss!$A$2:$V$100,18,FALSE),0)</f>
        <v>0</v>
      </c>
      <c r="P32" s="150">
        <f>+IFERROR(VLOOKUP($A32,Data_Loss!$A$2:$V$100,19,FALSE),0)</f>
        <v>0</v>
      </c>
      <c r="Q32" s="150">
        <f>+IFERROR(VLOOKUP($A32,Data_Loss!$A$2:$V$100,20,FALSE),0)</f>
        <v>0</v>
      </c>
      <c r="R32" s="150">
        <f>+IFERROR(VLOOKUP($A32,Data_Loss!$A$2:$V$100,21,FALSE),0)</f>
        <v>43131</v>
      </c>
      <c r="S32" s="150">
        <f>+IFERROR(VLOOKUP($A32,Data_Loss!$A$2:$V$100,22,FALSE),0)</f>
        <v>653</v>
      </c>
      <c r="T32" s="580" cm="1">
        <f t="array" ref="T32">MMULT($I32:$M32,_xlfn._xlws.FILTER('10k &amp; MO'!C$3:C$31,'10k &amp; MO'!$B$3:$B$31=$C32,"0"))</f>
        <v>0</v>
      </c>
      <c r="U32" s="247" cm="1">
        <f t="array" ref="U32">MMULT($I32:$M32,_xlfn._xlws.FILTER('10k &amp; MO'!D$3:D$31,'10k &amp; MO'!$B$3:$B$31=$C32,"0"))</f>
        <v>0</v>
      </c>
      <c r="V32" s="247" cm="1">
        <f t="array" ref="V32">MMULT($I32:$M32,_xlfn._xlws.FILTER('10k &amp; MO'!E$3:E$31,'10k &amp; MO'!$B$3:$B$31=$C32,"0"))</f>
        <v>0</v>
      </c>
      <c r="W32" s="247" cm="1">
        <f t="array" ref="W32">MMULT($I32:$M32,_xlfn._xlws.FILTER('10k &amp; MO'!F$3:F$31,'10k &amp; MO'!$B$3:$B$31=$C32,"0"))</f>
        <v>0</v>
      </c>
      <c r="X32" s="247" cm="1">
        <f t="array" ref="X32">MMULT($I32:$M32,_xlfn._xlws.FILTER('10k &amp; MO'!G$3:G$31,'10k &amp; MO'!$B$3:$B$31=$C32,"0"))</f>
        <v>100140.80420000001</v>
      </c>
      <c r="Y32" s="148" cm="1">
        <f t="array" ref="Y32">MMULT($N32:$R32,_xlfn._xlws.FILTER('10k &amp; MO'!H$3:H$31,'10k &amp; MO'!$B$3:$B$31=$C32,"0"))</f>
        <v>0</v>
      </c>
      <c r="Z32" s="247" cm="1">
        <f t="array" ref="Z32">MMULT($N32:$R32,_xlfn._xlws.FILTER('10k &amp; MO'!I$3:I$31,'10k &amp; MO'!$B$3:$B$31=$C32,"0"))</f>
        <v>0</v>
      </c>
      <c r="AA32" s="247" cm="1">
        <f t="array" ref="AA32">MMULT($N32:$R32,_xlfn._xlws.FILTER('10k &amp; MO'!J$3:J$31,'10k &amp; MO'!$B$3:$B$31=$C32,"0"))</f>
        <v>0</v>
      </c>
      <c r="AB32" s="247" cm="1">
        <f t="array" ref="AB32">MMULT($N32:$R32,_xlfn._xlws.FILTER('10k &amp; MO'!K$3:K$31,'10k &amp; MO'!$B$3:$B$31=$C32,"0"))</f>
        <v>0</v>
      </c>
      <c r="AC32" s="248" cm="1">
        <f t="array" ref="AC32">MMULT($N32:$R32,_xlfn._xlws.FILTER('10k &amp; MO'!L$3:L$31,'10k &amp; MO'!$B$3:$B$31=$C32,"0"))</f>
        <v>88470.30720000001</v>
      </c>
      <c r="AD32" s="248">
        <f>S32*_xlfn.XLOOKUP(C32,'10k &amp; MO'!$N$3:$N$7,'10k &amp; MO'!$O$3:$O$7)</f>
        <v>752.90899999999999</v>
      </c>
      <c r="AF32" s="149" t="str">
        <f t="shared" si="26"/>
        <v>8709F2018</v>
      </c>
      <c r="AG32" s="149">
        <f>+IFERROR(VLOOKUP($AF32,'Limited Loss'!$F$5:$P$24,AG$3,FALSE),0)</f>
        <v>0</v>
      </c>
      <c r="AH32" s="150">
        <f>+IFERROR(VLOOKUP($AF32,'Limited Loss'!$F$5:$P$24,AH$3,FALSE),0)</f>
        <v>0</v>
      </c>
      <c r="AI32" s="150">
        <f>+IFERROR(VLOOKUP($AF32,'Limited Loss'!$F$5:$P$24,AI$3,FALSE),0)</f>
        <v>0</v>
      </c>
      <c r="AJ32" s="150">
        <f>+IFERROR(VLOOKUP($AF32,'Limited Loss'!$F$5:$P$24,AJ$3,FALSE),0)</f>
        <v>0</v>
      </c>
      <c r="AK32" s="86">
        <f>+IFERROR(VLOOKUP($AF32,'Limited Loss'!$F$5:$P$24,AK$3,FALSE),0)</f>
        <v>0</v>
      </c>
      <c r="AL32" s="150">
        <f>+IFERROR(VLOOKUP($AF32,'Limited Loss'!$F$5:$P$24,AL$3,FALSE),0)</f>
        <v>0</v>
      </c>
      <c r="AM32" s="150">
        <f>+IFERROR(VLOOKUP($AF32,'Limited Loss'!$F$5:$P$24,AM$3,FALSE),0)</f>
        <v>0</v>
      </c>
      <c r="AN32" s="150">
        <f>+IFERROR(VLOOKUP($AF32,'Limited Loss'!$F$5:$P$24,AN$3,FALSE),0)</f>
        <v>0</v>
      </c>
      <c r="AO32" s="150">
        <f>+IFERROR(VLOOKUP($AF32,'Limited Loss'!$F$5:$P$24,AO$3,FALSE),0)</f>
        <v>0</v>
      </c>
      <c r="AP32" s="86">
        <f>+IFERROR(VLOOKUP($AF32,'Limited Loss'!$F$5:$P$24,AP$3,FALSE),0)</f>
        <v>0</v>
      </c>
      <c r="AQ32" s="150"/>
      <c r="AR32" s="59" t="str">
        <f t="shared" si="27"/>
        <v>8709F</v>
      </c>
      <c r="AS32" s="188">
        <f t="shared" si="28"/>
        <v>2018</v>
      </c>
      <c r="AT32" s="247">
        <f t="shared" si="29"/>
        <v>0</v>
      </c>
      <c r="AU32" s="247">
        <f t="shared" si="30"/>
        <v>0</v>
      </c>
      <c r="AV32" s="247">
        <f t="shared" si="31"/>
        <v>0</v>
      </c>
      <c r="AW32" s="247">
        <f t="shared" si="32"/>
        <v>0</v>
      </c>
      <c r="AX32" s="248">
        <f t="shared" si="33"/>
        <v>100140.80420000001</v>
      </c>
      <c r="AY32" s="247">
        <f t="shared" si="34"/>
        <v>0</v>
      </c>
      <c r="AZ32" s="247">
        <f t="shared" si="35"/>
        <v>0</v>
      </c>
      <c r="BA32" s="247">
        <f t="shared" si="36"/>
        <v>0</v>
      </c>
      <c r="BB32" s="247">
        <f t="shared" si="37"/>
        <v>0</v>
      </c>
      <c r="BC32" s="247">
        <f t="shared" si="38"/>
        <v>88470.30720000001</v>
      </c>
      <c r="BD32" s="248">
        <f t="shared" si="39"/>
        <v>752.90899999999999</v>
      </c>
      <c r="BE32" s="247">
        <f t="shared" si="40"/>
        <v>0</v>
      </c>
      <c r="BF32" s="150">
        <f t="shared" si="41"/>
        <v>188611.11140000002</v>
      </c>
      <c r="BG32" s="86">
        <f t="shared" si="42"/>
        <v>752.90899999999999</v>
      </c>
      <c r="BI32"/>
      <c r="BJ32"/>
      <c r="BK32"/>
      <c r="BL32"/>
    </row>
    <row r="33" spans="1:64" ht="14.6">
      <c r="A33" s="44" t="str">
        <f t="shared" si="25"/>
        <v>6824F2019</v>
      </c>
      <c r="B33" s="44" t="str">
        <f>Data_Loss!X30</f>
        <v>6824F</v>
      </c>
      <c r="C33" s="289">
        <f>Data_Loss!E30</f>
        <v>2019</v>
      </c>
      <c r="D33" s="150">
        <f>+IFERROR(VLOOKUP($A33,Data_Loss!$A$2:$V$100,6,FALSE),0)</f>
        <v>0</v>
      </c>
      <c r="E33" s="150">
        <f>+IFERROR(VLOOKUP($A33,Data_Loss!$A$2:$V$100,7,FALSE),0)</f>
        <v>0</v>
      </c>
      <c r="F33" s="150">
        <f>+IFERROR(VLOOKUP($A33,Data_Loss!$A$2:$V$100,8,FALSE),0)</f>
        <v>0</v>
      </c>
      <c r="G33" s="150">
        <f>+IFERROR(VLOOKUP($A33,Data_Loss!$A$2:$V$100,9,FALSE),0)</f>
        <v>0</v>
      </c>
      <c r="H33" s="150">
        <f>+IFERROR(VLOOKUP($A33,Data_Loss!$A$2:$V$100,10,FALSE),0)</f>
        <v>1</v>
      </c>
      <c r="I33" s="150">
        <f>+IFERROR(VLOOKUP($A33,Data_Loss!$A$2:$V$100,12,FALSE),0)</f>
        <v>0</v>
      </c>
      <c r="J33" s="150">
        <f>+IFERROR(VLOOKUP($A33,Data_Loss!$A$2:$V$100,13,FALSE),0)</f>
        <v>0</v>
      </c>
      <c r="K33" s="150">
        <f>+IFERROR(VLOOKUP($A33,Data_Loss!$A$2:$V$100,14,FALSE),0)</f>
        <v>0</v>
      </c>
      <c r="L33" s="150">
        <f>+IFERROR(VLOOKUP($A33,Data_Loss!$A$2:$V$100,15,FALSE),0)</f>
        <v>0</v>
      </c>
      <c r="M33" s="150">
        <f>+IFERROR(VLOOKUP($A33,Data_Loss!$A$2:$V$100,16,FALSE),0)</f>
        <v>1349</v>
      </c>
      <c r="N33" s="150">
        <f>+IFERROR(VLOOKUP($A33,Data_Loss!$A$2:$V$100,17,FALSE),0)</f>
        <v>0</v>
      </c>
      <c r="O33" s="150">
        <f>+IFERROR(VLOOKUP($A33,Data_Loss!$A$2:$V$100,18,FALSE),0)</f>
        <v>0</v>
      </c>
      <c r="P33" s="150">
        <f>+IFERROR(VLOOKUP($A33,Data_Loss!$A$2:$V$100,19,FALSE),0)</f>
        <v>0</v>
      </c>
      <c r="Q33" s="150">
        <f>+IFERROR(VLOOKUP($A33,Data_Loss!$A$2:$V$100,20,FALSE),0)</f>
        <v>0</v>
      </c>
      <c r="R33" s="150">
        <f>+IFERROR(VLOOKUP($A33,Data_Loss!$A$2:$V$100,21,FALSE),0)</f>
        <v>20417</v>
      </c>
      <c r="S33" s="150">
        <f>+IFERROR(VLOOKUP($A33,Data_Loss!$A$2:$V$100,22,FALSE),0)</f>
        <v>0</v>
      </c>
      <c r="T33" s="580" cm="1">
        <f t="array" ref="T33">MMULT($I33:$M33,_xlfn._xlws.FILTER('10k &amp; MO'!C$3:C$31,'10k &amp; MO'!$B$3:$B$31=$C33,"0"))</f>
        <v>0</v>
      </c>
      <c r="U33" s="247" cm="1">
        <f t="array" ref="U33">MMULT($I33:$M33,_xlfn._xlws.FILTER('10k &amp; MO'!D$3:D$31,'10k &amp; MO'!$B$3:$B$31=$C33,"0"))</f>
        <v>0</v>
      </c>
      <c r="V33" s="247" cm="1">
        <f t="array" ref="V33">MMULT($I33:$M33,_xlfn._xlws.FILTER('10k &amp; MO'!E$3:E$31,'10k &amp; MO'!$B$3:$B$31=$C33,"0"))</f>
        <v>0</v>
      </c>
      <c r="W33" s="247" cm="1">
        <f t="array" ref="W33">MMULT($I33:$M33,_xlfn._xlws.FILTER('10k &amp; MO'!F$3:F$31,'10k &amp; MO'!$B$3:$B$31=$C33,"0"))</f>
        <v>0</v>
      </c>
      <c r="X33" s="247" cm="1">
        <f t="array" ref="X33">MMULT($I33:$M33,_xlfn._xlws.FILTER('10k &amp; MO'!G$3:G$31,'10k &amp; MO'!$B$3:$B$31=$C33,"0"))</f>
        <v>4066.1558000000005</v>
      </c>
      <c r="Y33" s="148" cm="1">
        <f t="array" ref="Y33">MMULT($N33:$R33,_xlfn._xlws.FILTER('10k &amp; MO'!H$3:H$31,'10k &amp; MO'!$B$3:$B$31=$C33,"0"))</f>
        <v>0</v>
      </c>
      <c r="Z33" s="247" cm="1">
        <f t="array" ref="Z33">MMULT($N33:$R33,_xlfn._xlws.FILTER('10k &amp; MO'!I$3:I$31,'10k &amp; MO'!$B$3:$B$31=$C33,"0"))</f>
        <v>0</v>
      </c>
      <c r="AA33" s="247" cm="1">
        <f t="array" ref="AA33">MMULT($N33:$R33,_xlfn._xlws.FILTER('10k &amp; MO'!J$3:J$31,'10k &amp; MO'!$B$3:$B$31=$C33,"0"))</f>
        <v>0</v>
      </c>
      <c r="AB33" s="247" cm="1">
        <f t="array" ref="AB33">MMULT($N33:$R33,_xlfn._xlws.FILTER('10k &amp; MO'!K$3:K$31,'10k &amp; MO'!$B$3:$B$31=$C33,"0"))</f>
        <v>0</v>
      </c>
      <c r="AC33" s="248" cm="1">
        <f t="array" ref="AC33">MMULT($N33:$R33,_xlfn._xlws.FILTER('10k &amp; MO'!L$3:L$31,'10k &amp; MO'!$B$3:$B$31=$C33,"0"))</f>
        <v>56122.249600000003</v>
      </c>
      <c r="AD33" s="248">
        <f>S33*_xlfn.XLOOKUP(C33,'10k &amp; MO'!$N$3:$N$7,'10k &amp; MO'!$O$3:$O$7)</f>
        <v>0</v>
      </c>
      <c r="AF33" s="149" t="str">
        <f t="shared" si="26"/>
        <v>6824F2019</v>
      </c>
      <c r="AG33" s="149">
        <f>+IFERROR(VLOOKUP($AF33,'Limited Loss'!$F$5:$P$24,AG$3,FALSE),0)</f>
        <v>0</v>
      </c>
      <c r="AH33" s="150">
        <f>+IFERROR(VLOOKUP($AF33,'Limited Loss'!$F$5:$P$24,AH$3,FALSE),0)</f>
        <v>0</v>
      </c>
      <c r="AI33" s="150">
        <f>+IFERROR(VLOOKUP($AF33,'Limited Loss'!$F$5:$P$24,AI$3,FALSE),0)</f>
        <v>0</v>
      </c>
      <c r="AJ33" s="150">
        <f>+IFERROR(VLOOKUP($AF33,'Limited Loss'!$F$5:$P$24,AJ$3,FALSE),0)</f>
        <v>0</v>
      </c>
      <c r="AK33" s="86">
        <f>+IFERROR(VLOOKUP($AF33,'Limited Loss'!$F$5:$P$24,AK$3,FALSE),0)</f>
        <v>0</v>
      </c>
      <c r="AL33" s="150">
        <f>+IFERROR(VLOOKUP($AF33,'Limited Loss'!$F$5:$P$24,AL$3,FALSE),0)</f>
        <v>0</v>
      </c>
      <c r="AM33" s="150">
        <f>+IFERROR(VLOOKUP($AF33,'Limited Loss'!$F$5:$P$24,AM$3,FALSE),0)</f>
        <v>0</v>
      </c>
      <c r="AN33" s="150">
        <f>+IFERROR(VLOOKUP($AF33,'Limited Loss'!$F$5:$P$24,AN$3,FALSE),0)</f>
        <v>0</v>
      </c>
      <c r="AO33" s="150">
        <f>+IFERROR(VLOOKUP($AF33,'Limited Loss'!$F$5:$P$24,AO$3,FALSE),0)</f>
        <v>0</v>
      </c>
      <c r="AP33" s="86">
        <f>+IFERROR(VLOOKUP($AF33,'Limited Loss'!$F$5:$P$24,AP$3,FALSE),0)</f>
        <v>0</v>
      </c>
      <c r="AQ33" s="150"/>
      <c r="AR33" s="59" t="str">
        <f t="shared" si="27"/>
        <v>6824F</v>
      </c>
      <c r="AS33" s="188">
        <f t="shared" si="28"/>
        <v>2019</v>
      </c>
      <c r="AT33" s="247">
        <f t="shared" si="29"/>
        <v>0</v>
      </c>
      <c r="AU33" s="247">
        <f t="shared" si="30"/>
        <v>0</v>
      </c>
      <c r="AV33" s="247">
        <f t="shared" si="31"/>
        <v>0</v>
      </c>
      <c r="AW33" s="247">
        <f t="shared" si="32"/>
        <v>0</v>
      </c>
      <c r="AX33" s="248">
        <f t="shared" si="33"/>
        <v>4066.1558000000005</v>
      </c>
      <c r="AY33" s="247">
        <f t="shared" si="34"/>
        <v>0</v>
      </c>
      <c r="AZ33" s="247">
        <f t="shared" si="35"/>
        <v>0</v>
      </c>
      <c r="BA33" s="247">
        <f t="shared" si="36"/>
        <v>0</v>
      </c>
      <c r="BB33" s="247">
        <f t="shared" si="37"/>
        <v>0</v>
      </c>
      <c r="BC33" s="247">
        <f t="shared" si="38"/>
        <v>56122.249600000003</v>
      </c>
      <c r="BD33" s="248">
        <f t="shared" si="39"/>
        <v>0</v>
      </c>
      <c r="BE33" s="247">
        <f t="shared" si="40"/>
        <v>0</v>
      </c>
      <c r="BF33" s="150">
        <f t="shared" si="41"/>
        <v>60188.405400000003</v>
      </c>
      <c r="BG33" s="86">
        <f t="shared" si="42"/>
        <v>0</v>
      </c>
      <c r="BI33"/>
      <c r="BJ33"/>
      <c r="BK33"/>
      <c r="BL33"/>
    </row>
    <row r="34" spans="1:64" ht="14.6">
      <c r="A34" s="44" t="str">
        <f t="shared" si="25"/>
        <v>6826F2019</v>
      </c>
      <c r="B34" s="44" t="str">
        <f>Data_Loss!X31</f>
        <v>6826F</v>
      </c>
      <c r="C34" s="289">
        <f>Data_Loss!E31</f>
        <v>2019</v>
      </c>
      <c r="D34" s="150">
        <f>+IFERROR(VLOOKUP($A34,Data_Loss!$A$2:$V$100,6,FALSE),0)</f>
        <v>0</v>
      </c>
      <c r="E34" s="150">
        <f>+IFERROR(VLOOKUP($A34,Data_Loss!$A$2:$V$100,7,FALSE),0)</f>
        <v>0</v>
      </c>
      <c r="F34" s="150">
        <f>+IFERROR(VLOOKUP($A34,Data_Loss!$A$2:$V$100,8,FALSE),0)</f>
        <v>0</v>
      </c>
      <c r="G34" s="150">
        <f>+IFERROR(VLOOKUP($A34,Data_Loss!$A$2:$V$100,9,FALSE),0)</f>
        <v>1</v>
      </c>
      <c r="H34" s="150">
        <f>+IFERROR(VLOOKUP($A34,Data_Loss!$A$2:$V$100,10,FALSE),0)</f>
        <v>0</v>
      </c>
      <c r="I34" s="150">
        <f>+IFERROR(VLOOKUP($A34,Data_Loss!$A$2:$V$100,12,FALSE),0)</f>
        <v>0</v>
      </c>
      <c r="J34" s="150">
        <f>+IFERROR(VLOOKUP($A34,Data_Loss!$A$2:$V$100,13,FALSE),0)</f>
        <v>0</v>
      </c>
      <c r="K34" s="150">
        <f>+IFERROR(VLOOKUP($A34,Data_Loss!$A$2:$V$100,14,FALSE),0)</f>
        <v>0</v>
      </c>
      <c r="L34" s="150">
        <f>+IFERROR(VLOOKUP($A34,Data_Loss!$A$2:$V$100,15,FALSE),0)</f>
        <v>130367</v>
      </c>
      <c r="M34" s="150">
        <f>+IFERROR(VLOOKUP($A34,Data_Loss!$A$2:$V$100,16,FALSE),0)</f>
        <v>0</v>
      </c>
      <c r="N34" s="150">
        <f>+IFERROR(VLOOKUP($A34,Data_Loss!$A$2:$V$100,17,FALSE),0)</f>
        <v>0</v>
      </c>
      <c r="O34" s="150">
        <f>+IFERROR(VLOOKUP($A34,Data_Loss!$A$2:$V$100,18,FALSE),0)</f>
        <v>0</v>
      </c>
      <c r="P34" s="150">
        <f>+IFERROR(VLOOKUP($A34,Data_Loss!$A$2:$V$100,19,FALSE),0)</f>
        <v>0</v>
      </c>
      <c r="Q34" s="150">
        <f>+IFERROR(VLOOKUP($A34,Data_Loss!$A$2:$V$100,20,FALSE),0)</f>
        <v>47862</v>
      </c>
      <c r="R34" s="150">
        <f>+IFERROR(VLOOKUP($A34,Data_Loss!$A$2:$V$100,21,FALSE),0)</f>
        <v>0</v>
      </c>
      <c r="S34" s="150">
        <f>+IFERROR(VLOOKUP($A34,Data_Loss!$A$2:$V$100,22,FALSE),0)</f>
        <v>0</v>
      </c>
      <c r="T34" s="580" cm="1">
        <f t="array" ref="T34">MMULT($I34:$M34,_xlfn._xlws.FILTER('10k &amp; MO'!C$3:C$31,'10k &amp; MO'!$B$3:$B$31=$C34,"0"))</f>
        <v>0</v>
      </c>
      <c r="U34" s="247" cm="1">
        <f t="array" ref="U34">MMULT($I34:$M34,_xlfn._xlws.FILTER('10k &amp; MO'!D$3:D$31,'10k &amp; MO'!$B$3:$B$31=$C34,"0"))</f>
        <v>0</v>
      </c>
      <c r="V34" s="247" cm="1">
        <f t="array" ref="V34">MMULT($I34:$M34,_xlfn._xlws.FILTER('10k &amp; MO'!E$3:E$31,'10k &amp; MO'!$B$3:$B$31=$C34,"0"))</f>
        <v>0</v>
      </c>
      <c r="W34" s="247" cm="1">
        <f t="array" ref="W34">MMULT($I34:$M34,_xlfn._xlws.FILTER('10k &amp; MO'!F$3:F$31,'10k &amp; MO'!$B$3:$B$31=$C34,"0"))</f>
        <v>392952.21140000003</v>
      </c>
      <c r="X34" s="247" cm="1">
        <f t="array" ref="X34">MMULT($I34:$M34,_xlfn._xlws.FILTER('10k &amp; MO'!G$3:G$31,'10k &amp; MO'!$B$3:$B$31=$C34,"0"))</f>
        <v>0</v>
      </c>
      <c r="Y34" s="148" cm="1">
        <f t="array" ref="Y34">MMULT($N34:$R34,_xlfn._xlws.FILTER('10k &amp; MO'!H$3:H$31,'10k &amp; MO'!$B$3:$B$31=$C34,"0"))</f>
        <v>0</v>
      </c>
      <c r="Z34" s="247" cm="1">
        <f t="array" ref="Z34">MMULT($N34:$R34,_xlfn._xlws.FILTER('10k &amp; MO'!I$3:I$31,'10k &amp; MO'!$B$3:$B$31=$C34,"0"))</f>
        <v>0</v>
      </c>
      <c r="AA34" s="247" cm="1">
        <f t="array" ref="AA34">MMULT($N34:$R34,_xlfn._xlws.FILTER('10k &amp; MO'!J$3:J$31,'10k &amp; MO'!$B$3:$B$31=$C34,"0"))</f>
        <v>0</v>
      </c>
      <c r="AB34" s="247" cm="1">
        <f t="array" ref="AB34">MMULT($N34:$R34,_xlfn._xlws.FILTER('10k &amp; MO'!K$3:K$31,'10k &amp; MO'!$B$3:$B$31=$C34,"0"))</f>
        <v>131563.0656</v>
      </c>
      <c r="AC34" s="248" cm="1">
        <f t="array" ref="AC34">MMULT($N34:$R34,_xlfn._xlws.FILTER('10k &amp; MO'!L$3:L$31,'10k &amp; MO'!$B$3:$B$31=$C34,"0"))</f>
        <v>0</v>
      </c>
      <c r="AD34" s="248">
        <f>S34*_xlfn.XLOOKUP(C34,'10k &amp; MO'!$N$3:$N$7,'10k &amp; MO'!$O$3:$O$7)</f>
        <v>0</v>
      </c>
      <c r="AF34" s="149" t="str">
        <f t="shared" si="26"/>
        <v>6826F2019</v>
      </c>
      <c r="AG34" s="149">
        <f>+IFERROR(VLOOKUP($AF34,'Limited Loss'!$F$5:$P$24,AG$3,FALSE),0)</f>
        <v>0</v>
      </c>
      <c r="AH34" s="150">
        <f>+IFERROR(VLOOKUP($AF34,'Limited Loss'!$F$5:$P$24,AH$3,FALSE),0)</f>
        <v>0</v>
      </c>
      <c r="AI34" s="150">
        <f>+IFERROR(VLOOKUP($AF34,'Limited Loss'!$F$5:$P$24,AI$3,FALSE),0)</f>
        <v>0</v>
      </c>
      <c r="AJ34" s="150">
        <f>+IFERROR(VLOOKUP($AF34,'Limited Loss'!$F$5:$P$24,AJ$3,FALSE),0)</f>
        <v>0</v>
      </c>
      <c r="AK34" s="86">
        <f>+IFERROR(VLOOKUP($AF34,'Limited Loss'!$F$5:$P$24,AK$3,FALSE),0)</f>
        <v>0</v>
      </c>
      <c r="AL34" s="150">
        <f>+IFERROR(VLOOKUP($AF34,'Limited Loss'!$F$5:$P$24,AL$3,FALSE),0)</f>
        <v>0</v>
      </c>
      <c r="AM34" s="150">
        <f>+IFERROR(VLOOKUP($AF34,'Limited Loss'!$F$5:$P$24,AM$3,FALSE),0)</f>
        <v>0</v>
      </c>
      <c r="AN34" s="150">
        <f>+IFERROR(VLOOKUP($AF34,'Limited Loss'!$F$5:$P$24,AN$3,FALSE),0)</f>
        <v>0</v>
      </c>
      <c r="AO34" s="150">
        <f>+IFERROR(VLOOKUP($AF34,'Limited Loss'!$F$5:$P$24,AO$3,FALSE),0)</f>
        <v>0</v>
      </c>
      <c r="AP34" s="86">
        <f>+IFERROR(VLOOKUP($AF34,'Limited Loss'!$F$5:$P$24,AP$3,FALSE),0)</f>
        <v>0</v>
      </c>
      <c r="AQ34" s="150"/>
      <c r="AR34" s="59" t="str">
        <f t="shared" si="27"/>
        <v>6826F</v>
      </c>
      <c r="AS34" s="188">
        <f t="shared" si="28"/>
        <v>2019</v>
      </c>
      <c r="AT34" s="247">
        <f t="shared" si="29"/>
        <v>0</v>
      </c>
      <c r="AU34" s="247">
        <f t="shared" si="30"/>
        <v>0</v>
      </c>
      <c r="AV34" s="247">
        <f t="shared" si="31"/>
        <v>0</v>
      </c>
      <c r="AW34" s="247">
        <f t="shared" si="32"/>
        <v>392952.21140000003</v>
      </c>
      <c r="AX34" s="248">
        <f t="shared" si="33"/>
        <v>0</v>
      </c>
      <c r="AY34" s="247">
        <f t="shared" si="34"/>
        <v>0</v>
      </c>
      <c r="AZ34" s="247">
        <f t="shared" si="35"/>
        <v>0</v>
      </c>
      <c r="BA34" s="247">
        <f t="shared" si="36"/>
        <v>0</v>
      </c>
      <c r="BB34" s="247">
        <f t="shared" si="37"/>
        <v>131563.0656</v>
      </c>
      <c r="BC34" s="247">
        <f t="shared" si="38"/>
        <v>0</v>
      </c>
      <c r="BD34" s="248">
        <f t="shared" si="39"/>
        <v>0</v>
      </c>
      <c r="BE34" s="247">
        <f t="shared" si="40"/>
        <v>0</v>
      </c>
      <c r="BF34" s="150">
        <f t="shared" si="41"/>
        <v>524515.277</v>
      </c>
      <c r="BG34" s="86">
        <f t="shared" si="42"/>
        <v>0</v>
      </c>
      <c r="BI34"/>
      <c r="BJ34"/>
      <c r="BK34"/>
      <c r="BL34"/>
    </row>
    <row r="35" spans="1:64" ht="14.6">
      <c r="A35" s="44" t="str">
        <f t="shared" ref="A35:A37" si="43">+B35&amp;C35</f>
        <v>7309F2019</v>
      </c>
      <c r="B35" s="44" t="str">
        <f>Data_Loss!X32</f>
        <v>7309F</v>
      </c>
      <c r="C35" s="289">
        <f>Data_Loss!E32</f>
        <v>2019</v>
      </c>
      <c r="D35" s="150">
        <f>+IFERROR(VLOOKUP($A35,Data_Loss!$A$2:$V$100,6,FALSE),0)</f>
        <v>0</v>
      </c>
      <c r="E35" s="150">
        <f>+IFERROR(VLOOKUP($A35,Data_Loss!$A$2:$V$100,7,FALSE),0)</f>
        <v>0</v>
      </c>
      <c r="F35" s="150">
        <f>+IFERROR(VLOOKUP($A35,Data_Loss!$A$2:$V$100,8,FALSE),0)</f>
        <v>0</v>
      </c>
      <c r="G35" s="150">
        <f>+IFERROR(VLOOKUP($A35,Data_Loss!$A$2:$V$100,9,FALSE),0)</f>
        <v>4</v>
      </c>
      <c r="H35" s="150">
        <f>+IFERROR(VLOOKUP($A35,Data_Loss!$A$2:$V$100,10,FALSE),0)</f>
        <v>4</v>
      </c>
      <c r="I35" s="150">
        <f>+IFERROR(VLOOKUP($A35,Data_Loss!$A$2:$V$100,12,FALSE),0)</f>
        <v>0</v>
      </c>
      <c r="J35" s="150">
        <f>+IFERROR(VLOOKUP($A35,Data_Loss!$A$2:$V$100,13,FALSE),0)</f>
        <v>0</v>
      </c>
      <c r="K35" s="150">
        <f>+IFERROR(VLOOKUP($A35,Data_Loss!$A$2:$V$100,14,FALSE),0)</f>
        <v>0</v>
      </c>
      <c r="L35" s="150">
        <f>+IFERROR(VLOOKUP($A35,Data_Loss!$A$2:$V$100,15,FALSE),0)</f>
        <v>66000</v>
      </c>
      <c r="M35" s="150">
        <f>+IFERROR(VLOOKUP($A35,Data_Loss!$A$2:$V$100,16,FALSE),0)</f>
        <v>62321</v>
      </c>
      <c r="N35" s="150">
        <f>+IFERROR(VLOOKUP($A35,Data_Loss!$A$2:$V$100,17,FALSE),0)</f>
        <v>0</v>
      </c>
      <c r="O35" s="150">
        <f>+IFERROR(VLOOKUP($A35,Data_Loss!$A$2:$V$100,18,FALSE),0)</f>
        <v>0</v>
      </c>
      <c r="P35" s="150">
        <f>+IFERROR(VLOOKUP($A35,Data_Loss!$A$2:$V$100,19,FALSE),0)</f>
        <v>0</v>
      </c>
      <c r="Q35" s="150">
        <f>+IFERROR(VLOOKUP($A35,Data_Loss!$A$2:$V$100,20,FALSE),0)</f>
        <v>3500</v>
      </c>
      <c r="R35" s="150">
        <f>+IFERROR(VLOOKUP($A35,Data_Loss!$A$2:$V$100,21,FALSE),0)</f>
        <v>59401</v>
      </c>
      <c r="S35" s="150">
        <f>+IFERROR(VLOOKUP($A35,Data_Loss!$A$2:$V$100,22,FALSE),0)</f>
        <v>673</v>
      </c>
      <c r="T35" s="580" cm="1">
        <f t="array" ref="T35">MMULT($I35:$M35,_xlfn._xlws.FILTER('10k &amp; MO'!C$3:C$31,'10k &amp; MO'!$B$3:$B$31=$C35,"0"))</f>
        <v>0</v>
      </c>
      <c r="U35" s="247" cm="1">
        <f t="array" ref="U35">MMULT($I35:$M35,_xlfn._xlws.FILTER('10k &amp; MO'!D$3:D$31,'10k &amp; MO'!$B$3:$B$31=$C35,"0"))</f>
        <v>0</v>
      </c>
      <c r="V35" s="247" cm="1">
        <f t="array" ref="V35">MMULT($I35:$M35,_xlfn._xlws.FILTER('10k &amp; MO'!E$3:E$31,'10k &amp; MO'!$B$3:$B$31=$C35,"0"))</f>
        <v>0</v>
      </c>
      <c r="W35" s="247" cm="1">
        <f t="array" ref="W35">MMULT($I35:$M35,_xlfn._xlws.FILTER('10k &amp; MO'!F$3:F$31,'10k &amp; MO'!$B$3:$B$31=$C35,"0"))</f>
        <v>198937.2</v>
      </c>
      <c r="X35" s="247" cm="1">
        <f t="array" ref="X35">MMULT($I35:$M35,_xlfn._xlws.FILTER('10k &amp; MO'!G$3:G$31,'10k &amp; MO'!$B$3:$B$31=$C35,"0"))</f>
        <v>187847.95820000002</v>
      </c>
      <c r="Y35" s="148" cm="1">
        <f t="array" ref="Y35">MMULT($N35:$R35,_xlfn._xlws.FILTER('10k &amp; MO'!H$3:H$31,'10k &amp; MO'!$B$3:$B$31=$C35,"0"))</f>
        <v>0</v>
      </c>
      <c r="Z35" s="247" cm="1">
        <f t="array" ref="Z35">MMULT($N35:$R35,_xlfn._xlws.FILTER('10k &amp; MO'!I$3:I$31,'10k &amp; MO'!$B$3:$B$31=$C35,"0"))</f>
        <v>0</v>
      </c>
      <c r="AA35" s="247" cm="1">
        <f t="array" ref="AA35">MMULT($N35:$R35,_xlfn._xlws.FILTER('10k &amp; MO'!J$3:J$31,'10k &amp; MO'!$B$3:$B$31=$C35,"0"))</f>
        <v>0</v>
      </c>
      <c r="AB35" s="247" cm="1">
        <f t="array" ref="AB35">MMULT($N35:$R35,_xlfn._xlws.FILTER('10k &amp; MO'!K$3:K$31,'10k &amp; MO'!$B$3:$B$31=$C35,"0"))</f>
        <v>9620.8000000000011</v>
      </c>
      <c r="AC35" s="248" cm="1">
        <f t="array" ref="AC35">MMULT($N35:$R35,_xlfn._xlws.FILTER('10k &amp; MO'!L$3:L$31,'10k &amp; MO'!$B$3:$B$31=$C35,"0"))</f>
        <v>163281.4688</v>
      </c>
      <c r="AD35" s="248">
        <f>S35*_xlfn.XLOOKUP(C35,'10k &amp; MO'!$N$3:$N$7,'10k &amp; MO'!$O$3:$O$7)</f>
        <v>775.96900000000005</v>
      </c>
      <c r="AF35" s="149" t="str">
        <f t="shared" ref="AF35:AF37" si="44">+B35&amp;C35</f>
        <v>7309F2019</v>
      </c>
      <c r="AG35" s="149">
        <f>+IFERROR(VLOOKUP($AF35,'Limited Loss'!$F$5:$P$24,AG$3,FALSE),0)</f>
        <v>0</v>
      </c>
      <c r="AH35" s="150">
        <f>+IFERROR(VLOOKUP($AF35,'Limited Loss'!$F$5:$P$24,AH$3,FALSE),0)</f>
        <v>0</v>
      </c>
      <c r="AI35" s="150">
        <f>+IFERROR(VLOOKUP($AF35,'Limited Loss'!$F$5:$P$24,AI$3,FALSE),0)</f>
        <v>0</v>
      </c>
      <c r="AJ35" s="150">
        <f>+IFERROR(VLOOKUP($AF35,'Limited Loss'!$F$5:$P$24,AJ$3,FALSE),0)</f>
        <v>0</v>
      </c>
      <c r="AK35" s="86">
        <f>+IFERROR(VLOOKUP($AF35,'Limited Loss'!$F$5:$P$24,AK$3,FALSE),0)</f>
        <v>0</v>
      </c>
      <c r="AL35" s="150">
        <f>+IFERROR(VLOOKUP($AF35,'Limited Loss'!$F$5:$P$24,AL$3,FALSE),0)</f>
        <v>0</v>
      </c>
      <c r="AM35" s="150">
        <f>+IFERROR(VLOOKUP($AF35,'Limited Loss'!$F$5:$P$24,AM$3,FALSE),0)</f>
        <v>0</v>
      </c>
      <c r="AN35" s="150">
        <f>+IFERROR(VLOOKUP($AF35,'Limited Loss'!$F$5:$P$24,AN$3,FALSE),0)</f>
        <v>0</v>
      </c>
      <c r="AO35" s="150">
        <f>+IFERROR(VLOOKUP($AF35,'Limited Loss'!$F$5:$P$24,AO$3,FALSE),0)</f>
        <v>0</v>
      </c>
      <c r="AP35" s="86">
        <f>+IFERROR(VLOOKUP($AF35,'Limited Loss'!$F$5:$P$24,AP$3,FALSE),0)</f>
        <v>0</v>
      </c>
      <c r="AQ35" s="150"/>
      <c r="AR35" s="59" t="str">
        <f t="shared" ref="AR35:AR37" si="45">+B35</f>
        <v>7309F</v>
      </c>
      <c r="AS35" s="188">
        <f t="shared" ref="AS35:AS37" si="46">+C35</f>
        <v>2019</v>
      </c>
      <c r="AT35" s="247">
        <f t="shared" ref="AT35:AT37" si="47">+T35-AG35</f>
        <v>0</v>
      </c>
      <c r="AU35" s="247">
        <f t="shared" ref="AU35:AU37" si="48">+U35-AH35</f>
        <v>0</v>
      </c>
      <c r="AV35" s="247">
        <f t="shared" ref="AV35:AV37" si="49">+V35-AI35</f>
        <v>0</v>
      </c>
      <c r="AW35" s="247">
        <f t="shared" ref="AW35:AW37" si="50">+W35-AJ35</f>
        <v>198937.2</v>
      </c>
      <c r="AX35" s="248">
        <f t="shared" ref="AX35:AX37" si="51">+X35-AK35</f>
        <v>187847.95820000002</v>
      </c>
      <c r="AY35" s="247">
        <f t="shared" ref="AY35:AY37" si="52">+Y35-AL35</f>
        <v>0</v>
      </c>
      <c r="AZ35" s="247">
        <f t="shared" ref="AZ35:AZ37" si="53">+Z35-AM35</f>
        <v>0</v>
      </c>
      <c r="BA35" s="247">
        <f t="shared" ref="BA35:BA37" si="54">+AA35-AN35</f>
        <v>0</v>
      </c>
      <c r="BB35" s="247">
        <f t="shared" ref="BB35:BB37" si="55">+AB35-AO35</f>
        <v>9620.8000000000011</v>
      </c>
      <c r="BC35" s="247">
        <f t="shared" ref="BC35:BC37" si="56">+AC35-AP35</f>
        <v>163281.4688</v>
      </c>
      <c r="BD35" s="248">
        <f t="shared" ref="BD35:BD37" si="57">+AD35-AQ35</f>
        <v>775.96900000000005</v>
      </c>
      <c r="BE35" s="247">
        <f t="shared" ref="BE35:BE37" si="58">+AT35+AU35+AV35+AY35+AZ35+BA35</f>
        <v>0</v>
      </c>
      <c r="BF35" s="150">
        <f t="shared" ref="BF35:BF37" si="59">+AW35+AX35+BB35+BC35</f>
        <v>559687.42700000003</v>
      </c>
      <c r="BG35" s="86">
        <f t="shared" ref="BG35:BG37" si="60">+BD35</f>
        <v>775.96900000000005</v>
      </c>
      <c r="BI35"/>
      <c r="BJ35"/>
      <c r="BK35"/>
      <c r="BL35"/>
    </row>
    <row r="36" spans="1:64" ht="14.6">
      <c r="A36" s="44" t="str">
        <f t="shared" si="43"/>
        <v>7313F2019</v>
      </c>
      <c r="B36" s="44" t="str">
        <f>Data_Loss!X33</f>
        <v>7313F</v>
      </c>
      <c r="C36" s="289">
        <f>Data_Loss!E33</f>
        <v>2019</v>
      </c>
      <c r="D36" s="150">
        <f>+IFERROR(VLOOKUP($A36,Data_Loss!$A$2:$V$100,6,FALSE),0)</f>
        <v>0</v>
      </c>
      <c r="E36" s="150">
        <f>+IFERROR(VLOOKUP($A36,Data_Loss!$A$2:$V$100,7,FALSE),0)</f>
        <v>0</v>
      </c>
      <c r="F36" s="150">
        <f>+IFERROR(VLOOKUP($A36,Data_Loss!$A$2:$V$100,8,FALSE),0)</f>
        <v>0</v>
      </c>
      <c r="G36" s="150">
        <f>+IFERROR(VLOOKUP($A36,Data_Loss!$A$2:$V$100,9,FALSE),0)</f>
        <v>0</v>
      </c>
      <c r="H36" s="150">
        <f>+IFERROR(VLOOKUP($A36,Data_Loss!$A$2:$V$100,10,FALSE),0)</f>
        <v>2</v>
      </c>
      <c r="I36" s="150">
        <f>+IFERROR(VLOOKUP($A36,Data_Loss!$A$2:$V$100,12,FALSE),0)</f>
        <v>0</v>
      </c>
      <c r="J36" s="150">
        <f>+IFERROR(VLOOKUP($A36,Data_Loss!$A$2:$V$100,13,FALSE),0)</f>
        <v>0</v>
      </c>
      <c r="K36" s="150">
        <f>+IFERROR(VLOOKUP($A36,Data_Loss!$A$2:$V$100,14,FALSE),0)</f>
        <v>0</v>
      </c>
      <c r="L36" s="150">
        <f>+IFERROR(VLOOKUP($A36,Data_Loss!$A$2:$V$100,15,FALSE),0)</f>
        <v>0</v>
      </c>
      <c r="M36" s="150">
        <f>+IFERROR(VLOOKUP($A36,Data_Loss!$A$2:$V$100,16,FALSE),0)</f>
        <v>27097</v>
      </c>
      <c r="N36" s="150">
        <f>+IFERROR(VLOOKUP($A36,Data_Loss!$A$2:$V$100,17,FALSE),0)</f>
        <v>0</v>
      </c>
      <c r="O36" s="150">
        <f>+IFERROR(VLOOKUP($A36,Data_Loss!$A$2:$V$100,18,FALSE),0)</f>
        <v>0</v>
      </c>
      <c r="P36" s="150">
        <f>+IFERROR(VLOOKUP($A36,Data_Loss!$A$2:$V$100,19,FALSE),0)</f>
        <v>0</v>
      </c>
      <c r="Q36" s="150">
        <f>+IFERROR(VLOOKUP($A36,Data_Loss!$A$2:$V$100,20,FALSE),0)</f>
        <v>0</v>
      </c>
      <c r="R36" s="150">
        <f>+IFERROR(VLOOKUP($A36,Data_Loss!$A$2:$V$100,21,FALSE),0)</f>
        <v>48375</v>
      </c>
      <c r="S36" s="150">
        <f>+IFERROR(VLOOKUP($A36,Data_Loss!$A$2:$V$100,22,FALSE),0)</f>
        <v>1797</v>
      </c>
      <c r="T36" s="580" cm="1">
        <f t="array" ref="T36">MMULT($I36:$M36,_xlfn._xlws.FILTER('10k &amp; MO'!C$3:C$31,'10k &amp; MO'!$B$3:$B$31=$C36,"0"))</f>
        <v>0</v>
      </c>
      <c r="U36" s="247" cm="1">
        <f t="array" ref="U36">MMULT($I36:$M36,_xlfn._xlws.FILTER('10k &amp; MO'!D$3:D$31,'10k &amp; MO'!$B$3:$B$31=$C36,"0"))</f>
        <v>0</v>
      </c>
      <c r="V36" s="247" cm="1">
        <f t="array" ref="V36">MMULT($I36:$M36,_xlfn._xlws.FILTER('10k &amp; MO'!E$3:E$31,'10k &amp; MO'!$B$3:$B$31=$C36,"0"))</f>
        <v>0</v>
      </c>
      <c r="W36" s="247" cm="1">
        <f t="array" ref="W36">MMULT($I36:$M36,_xlfn._xlws.FILTER('10k &amp; MO'!F$3:F$31,'10k &amp; MO'!$B$3:$B$31=$C36,"0"))</f>
        <v>0</v>
      </c>
      <c r="X36" s="247" cm="1">
        <f t="array" ref="X36">MMULT($I36:$M36,_xlfn._xlws.FILTER('10k &amp; MO'!G$3:G$31,'10k &amp; MO'!$B$3:$B$31=$C36,"0"))</f>
        <v>81675.777400000006</v>
      </c>
      <c r="Y36" s="148" cm="1">
        <f t="array" ref="Y36">MMULT($N36:$R36,_xlfn._xlws.FILTER('10k &amp; MO'!H$3:H$31,'10k &amp; MO'!$B$3:$B$31=$C36,"0"))</f>
        <v>0</v>
      </c>
      <c r="Z36" s="247" cm="1">
        <f t="array" ref="Z36">MMULT($N36:$R36,_xlfn._xlws.FILTER('10k &amp; MO'!I$3:I$31,'10k &amp; MO'!$B$3:$B$31=$C36,"0"))</f>
        <v>0</v>
      </c>
      <c r="AA36" s="247" cm="1">
        <f t="array" ref="AA36">MMULT($N36:$R36,_xlfn._xlws.FILTER('10k &amp; MO'!J$3:J$31,'10k &amp; MO'!$B$3:$B$31=$C36,"0"))</f>
        <v>0</v>
      </c>
      <c r="AB36" s="247" cm="1">
        <f t="array" ref="AB36">MMULT($N36:$R36,_xlfn._xlws.FILTER('10k &amp; MO'!K$3:K$31,'10k &amp; MO'!$B$3:$B$31=$C36,"0"))</f>
        <v>0</v>
      </c>
      <c r="AC36" s="248" cm="1">
        <f t="array" ref="AC36">MMULT($N36:$R36,_xlfn._xlws.FILTER('10k &amp; MO'!L$3:L$31,'10k &amp; MO'!$B$3:$B$31=$C36,"0"))</f>
        <v>132973.20000000001</v>
      </c>
      <c r="AD36" s="248">
        <f>S36*_xlfn.XLOOKUP(C36,'10k &amp; MO'!$N$3:$N$7,'10k &amp; MO'!$O$3:$O$7)</f>
        <v>2071.9410000000003</v>
      </c>
      <c r="AF36" s="149" t="str">
        <f t="shared" si="44"/>
        <v>7313F2019</v>
      </c>
      <c r="AG36" s="149">
        <f>+IFERROR(VLOOKUP($AF36,'Limited Loss'!$F$5:$P$24,AG$3,FALSE),0)</f>
        <v>0</v>
      </c>
      <c r="AH36" s="150">
        <f>+IFERROR(VLOOKUP($AF36,'Limited Loss'!$F$5:$P$24,AH$3,FALSE),0)</f>
        <v>0</v>
      </c>
      <c r="AI36" s="150">
        <f>+IFERROR(VLOOKUP($AF36,'Limited Loss'!$F$5:$P$24,AI$3,FALSE),0)</f>
        <v>0</v>
      </c>
      <c r="AJ36" s="150">
        <f>+IFERROR(VLOOKUP($AF36,'Limited Loss'!$F$5:$P$24,AJ$3,FALSE),0)</f>
        <v>0</v>
      </c>
      <c r="AK36" s="86">
        <f>+IFERROR(VLOOKUP($AF36,'Limited Loss'!$F$5:$P$24,AK$3,FALSE),0)</f>
        <v>0</v>
      </c>
      <c r="AL36" s="150">
        <f>+IFERROR(VLOOKUP($AF36,'Limited Loss'!$F$5:$P$24,AL$3,FALSE),0)</f>
        <v>0</v>
      </c>
      <c r="AM36" s="150">
        <f>+IFERROR(VLOOKUP($AF36,'Limited Loss'!$F$5:$P$24,AM$3,FALSE),0)</f>
        <v>0</v>
      </c>
      <c r="AN36" s="150">
        <f>+IFERROR(VLOOKUP($AF36,'Limited Loss'!$F$5:$P$24,AN$3,FALSE),0)</f>
        <v>0</v>
      </c>
      <c r="AO36" s="150">
        <f>+IFERROR(VLOOKUP($AF36,'Limited Loss'!$F$5:$P$24,AO$3,FALSE),0)</f>
        <v>0</v>
      </c>
      <c r="AP36" s="86">
        <f>+IFERROR(VLOOKUP($AF36,'Limited Loss'!$F$5:$P$24,AP$3,FALSE),0)</f>
        <v>0</v>
      </c>
      <c r="AQ36" s="150"/>
      <c r="AR36" s="59" t="str">
        <f t="shared" si="45"/>
        <v>7313F</v>
      </c>
      <c r="AS36" s="188">
        <f t="shared" si="46"/>
        <v>2019</v>
      </c>
      <c r="AT36" s="247">
        <f t="shared" si="47"/>
        <v>0</v>
      </c>
      <c r="AU36" s="247">
        <f t="shared" si="48"/>
        <v>0</v>
      </c>
      <c r="AV36" s="247">
        <f t="shared" si="49"/>
        <v>0</v>
      </c>
      <c r="AW36" s="247">
        <f t="shared" si="50"/>
        <v>0</v>
      </c>
      <c r="AX36" s="248">
        <f t="shared" si="51"/>
        <v>81675.777400000006</v>
      </c>
      <c r="AY36" s="247">
        <f t="shared" si="52"/>
        <v>0</v>
      </c>
      <c r="AZ36" s="247">
        <f t="shared" si="53"/>
        <v>0</v>
      </c>
      <c r="BA36" s="247">
        <f t="shared" si="54"/>
        <v>0</v>
      </c>
      <c r="BB36" s="247">
        <f t="shared" si="55"/>
        <v>0</v>
      </c>
      <c r="BC36" s="247">
        <f t="shared" si="56"/>
        <v>132973.20000000001</v>
      </c>
      <c r="BD36" s="248">
        <f t="shared" si="57"/>
        <v>2071.9410000000003</v>
      </c>
      <c r="BE36" s="247">
        <f t="shared" si="58"/>
        <v>0</v>
      </c>
      <c r="BF36" s="150">
        <f t="shared" si="59"/>
        <v>214648.97740000003</v>
      </c>
      <c r="BG36" s="86">
        <f t="shared" si="60"/>
        <v>2071.9410000000003</v>
      </c>
      <c r="BI36"/>
      <c r="BJ36"/>
      <c r="BK36"/>
      <c r="BL36"/>
    </row>
    <row r="37" spans="1:64" ht="14.6">
      <c r="A37" s="44" t="str">
        <f t="shared" si="43"/>
        <v>7317F2019</v>
      </c>
      <c r="B37" s="44" t="str">
        <f>Data_Loss!X34</f>
        <v>7317F</v>
      </c>
      <c r="C37" s="289">
        <f>Data_Loss!E34</f>
        <v>2019</v>
      </c>
      <c r="D37" s="150">
        <f>+IFERROR(VLOOKUP($A37,Data_Loss!$A$2:$V$100,6,FALSE),0)</f>
        <v>0</v>
      </c>
      <c r="E37" s="150">
        <f>+IFERROR(VLOOKUP($A37,Data_Loss!$A$2:$V$100,7,FALSE),0)</f>
        <v>0</v>
      </c>
      <c r="F37" s="150">
        <f>+IFERROR(VLOOKUP($A37,Data_Loss!$A$2:$V$100,8,FALSE),0)</f>
        <v>0</v>
      </c>
      <c r="G37" s="150">
        <f>+IFERROR(VLOOKUP($A37,Data_Loss!$A$2:$V$100,9,FALSE),0)</f>
        <v>0</v>
      </c>
      <c r="H37" s="150">
        <f>+IFERROR(VLOOKUP($A37,Data_Loss!$A$2:$V$100,10,FALSE),0)</f>
        <v>0</v>
      </c>
      <c r="I37" s="150">
        <f>+IFERROR(VLOOKUP($A37,Data_Loss!$A$2:$V$100,12,FALSE),0)</f>
        <v>0</v>
      </c>
      <c r="J37" s="150">
        <f>+IFERROR(VLOOKUP($A37,Data_Loss!$A$2:$V$100,13,FALSE),0)</f>
        <v>0</v>
      </c>
      <c r="K37" s="150">
        <f>+IFERROR(VLOOKUP($A37,Data_Loss!$A$2:$V$100,14,FALSE),0)</f>
        <v>0</v>
      </c>
      <c r="L37" s="150">
        <f>+IFERROR(VLOOKUP($A37,Data_Loss!$A$2:$V$100,15,FALSE),0)</f>
        <v>0</v>
      </c>
      <c r="M37" s="150">
        <f>+IFERROR(VLOOKUP($A37,Data_Loss!$A$2:$V$100,16,FALSE),0)</f>
        <v>0</v>
      </c>
      <c r="N37" s="150">
        <f>+IFERROR(VLOOKUP($A37,Data_Loss!$A$2:$V$100,17,FALSE),0)</f>
        <v>0</v>
      </c>
      <c r="O37" s="150">
        <f>+IFERROR(VLOOKUP($A37,Data_Loss!$A$2:$V$100,18,FALSE),0)</f>
        <v>0</v>
      </c>
      <c r="P37" s="150">
        <f>+IFERROR(VLOOKUP($A37,Data_Loss!$A$2:$V$100,19,FALSE),0)</f>
        <v>0</v>
      </c>
      <c r="Q37" s="150">
        <f>+IFERROR(VLOOKUP($A37,Data_Loss!$A$2:$V$100,20,FALSE),0)</f>
        <v>0</v>
      </c>
      <c r="R37" s="150">
        <f>+IFERROR(VLOOKUP($A37,Data_Loss!$A$2:$V$100,21,FALSE),0)</f>
        <v>0</v>
      </c>
      <c r="S37" s="150">
        <f>+IFERROR(VLOOKUP($A37,Data_Loss!$A$2:$V$100,22,FALSE),0)</f>
        <v>532</v>
      </c>
      <c r="T37" s="580" cm="1">
        <f t="array" ref="T37">MMULT($I37:$M37,_xlfn._xlws.FILTER('10k &amp; MO'!C$3:C$31,'10k &amp; MO'!$B$3:$B$31=$C37,"0"))</f>
        <v>0</v>
      </c>
      <c r="U37" s="247" cm="1">
        <f t="array" ref="U37">MMULT($I37:$M37,_xlfn._xlws.FILTER('10k &amp; MO'!D$3:D$31,'10k &amp; MO'!$B$3:$B$31=$C37,"0"))</f>
        <v>0</v>
      </c>
      <c r="V37" s="247" cm="1">
        <f t="array" ref="V37">MMULT($I37:$M37,_xlfn._xlws.FILTER('10k &amp; MO'!E$3:E$31,'10k &amp; MO'!$B$3:$B$31=$C37,"0"))</f>
        <v>0</v>
      </c>
      <c r="W37" s="247" cm="1">
        <f t="array" ref="W37">MMULT($I37:$M37,_xlfn._xlws.FILTER('10k &amp; MO'!F$3:F$31,'10k &amp; MO'!$B$3:$B$31=$C37,"0"))</f>
        <v>0</v>
      </c>
      <c r="X37" s="247" cm="1">
        <f t="array" ref="X37">MMULT($I37:$M37,_xlfn._xlws.FILTER('10k &amp; MO'!G$3:G$31,'10k &amp; MO'!$B$3:$B$31=$C37,"0"))</f>
        <v>0</v>
      </c>
      <c r="Y37" s="148" cm="1">
        <f t="array" ref="Y37">MMULT($N37:$R37,_xlfn._xlws.FILTER('10k &amp; MO'!H$3:H$31,'10k &amp; MO'!$B$3:$B$31=$C37,"0"))</f>
        <v>0</v>
      </c>
      <c r="Z37" s="247" cm="1">
        <f t="array" ref="Z37">MMULT($N37:$R37,_xlfn._xlws.FILTER('10k &amp; MO'!I$3:I$31,'10k &amp; MO'!$B$3:$B$31=$C37,"0"))</f>
        <v>0</v>
      </c>
      <c r="AA37" s="247" cm="1">
        <f t="array" ref="AA37">MMULT($N37:$R37,_xlfn._xlws.FILTER('10k &amp; MO'!J$3:J$31,'10k &amp; MO'!$B$3:$B$31=$C37,"0"))</f>
        <v>0</v>
      </c>
      <c r="AB37" s="247" cm="1">
        <f t="array" ref="AB37">MMULT($N37:$R37,_xlfn._xlws.FILTER('10k &amp; MO'!K$3:K$31,'10k &amp; MO'!$B$3:$B$31=$C37,"0"))</f>
        <v>0</v>
      </c>
      <c r="AC37" s="248" cm="1">
        <f t="array" ref="AC37">MMULT($N37:$R37,_xlfn._xlws.FILTER('10k &amp; MO'!L$3:L$31,'10k &amp; MO'!$B$3:$B$31=$C37,"0"))</f>
        <v>0</v>
      </c>
      <c r="AD37" s="248">
        <f>S37*_xlfn.XLOOKUP(C37,'10k &amp; MO'!$N$3:$N$7,'10k &amp; MO'!$O$3:$O$7)</f>
        <v>613.39599999999996</v>
      </c>
      <c r="AF37" s="149" t="str">
        <f t="shared" si="44"/>
        <v>7317F2019</v>
      </c>
      <c r="AG37" s="149">
        <f>+IFERROR(VLOOKUP($AF37,'Limited Loss'!$F$5:$P$24,AG$3,FALSE),0)</f>
        <v>0</v>
      </c>
      <c r="AH37" s="150">
        <f>+IFERROR(VLOOKUP($AF37,'Limited Loss'!$F$5:$P$24,AH$3,FALSE),0)</f>
        <v>0</v>
      </c>
      <c r="AI37" s="150">
        <f>+IFERROR(VLOOKUP($AF37,'Limited Loss'!$F$5:$P$24,AI$3,FALSE),0)</f>
        <v>0</v>
      </c>
      <c r="AJ37" s="150">
        <f>+IFERROR(VLOOKUP($AF37,'Limited Loss'!$F$5:$P$24,AJ$3,FALSE),0)</f>
        <v>0</v>
      </c>
      <c r="AK37" s="86">
        <f>+IFERROR(VLOOKUP($AF37,'Limited Loss'!$F$5:$P$24,AK$3,FALSE),0)</f>
        <v>0</v>
      </c>
      <c r="AL37" s="150">
        <f>+IFERROR(VLOOKUP($AF37,'Limited Loss'!$F$5:$P$24,AL$3,FALSE),0)</f>
        <v>0</v>
      </c>
      <c r="AM37" s="150">
        <f>+IFERROR(VLOOKUP($AF37,'Limited Loss'!$F$5:$P$24,AM$3,FALSE),0)</f>
        <v>0</v>
      </c>
      <c r="AN37" s="150">
        <f>+IFERROR(VLOOKUP($AF37,'Limited Loss'!$F$5:$P$24,AN$3,FALSE),0)</f>
        <v>0</v>
      </c>
      <c r="AO37" s="150">
        <f>+IFERROR(VLOOKUP($AF37,'Limited Loss'!$F$5:$P$24,AO$3,FALSE),0)</f>
        <v>0</v>
      </c>
      <c r="AP37" s="86">
        <f>+IFERROR(VLOOKUP($AF37,'Limited Loss'!$F$5:$P$24,AP$3,FALSE),0)</f>
        <v>0</v>
      </c>
      <c r="AQ37" s="150"/>
      <c r="AR37" s="59" t="str">
        <f t="shared" si="45"/>
        <v>7317F</v>
      </c>
      <c r="AS37" s="188">
        <f t="shared" si="46"/>
        <v>2019</v>
      </c>
      <c r="AT37" s="247">
        <f t="shared" si="47"/>
        <v>0</v>
      </c>
      <c r="AU37" s="247">
        <f t="shared" si="48"/>
        <v>0</v>
      </c>
      <c r="AV37" s="247">
        <f t="shared" si="49"/>
        <v>0</v>
      </c>
      <c r="AW37" s="247">
        <f t="shared" si="50"/>
        <v>0</v>
      </c>
      <c r="AX37" s="248">
        <f t="shared" si="51"/>
        <v>0</v>
      </c>
      <c r="AY37" s="247">
        <f t="shared" si="52"/>
        <v>0</v>
      </c>
      <c r="AZ37" s="247">
        <f t="shared" si="53"/>
        <v>0</v>
      </c>
      <c r="BA37" s="247">
        <f t="shared" si="54"/>
        <v>0</v>
      </c>
      <c r="BB37" s="247">
        <f t="shared" si="55"/>
        <v>0</v>
      </c>
      <c r="BC37" s="247">
        <f t="shared" si="56"/>
        <v>0</v>
      </c>
      <c r="BD37" s="248">
        <f t="shared" si="57"/>
        <v>613.39599999999996</v>
      </c>
      <c r="BE37" s="247">
        <f t="shared" si="58"/>
        <v>0</v>
      </c>
      <c r="BF37" s="150">
        <f t="shared" si="59"/>
        <v>0</v>
      </c>
      <c r="BG37" s="86">
        <f t="shared" si="60"/>
        <v>613.39599999999996</v>
      </c>
      <c r="BI37"/>
      <c r="BJ37"/>
      <c r="BK37"/>
      <c r="BL37"/>
    </row>
    <row r="38" spans="1:64" ht="14.6">
      <c r="A38" s="44" t="str">
        <f t="shared" ref="A38:A40" si="61">+B38&amp;C38</f>
        <v>7327F2019</v>
      </c>
      <c r="B38" s="44" t="str">
        <f>Data_Loss!X35</f>
        <v>7327F</v>
      </c>
      <c r="C38" s="289">
        <f>Data_Loss!E35</f>
        <v>2019</v>
      </c>
      <c r="D38" s="150">
        <f>+IFERROR(VLOOKUP($A38,Data_Loss!$A$2:$V$100,6,FALSE),0)</f>
        <v>0</v>
      </c>
      <c r="E38" s="150">
        <f>+IFERROR(VLOOKUP($A38,Data_Loss!$A$2:$V$100,7,FALSE),0)</f>
        <v>0</v>
      </c>
      <c r="F38" s="150">
        <f>+IFERROR(VLOOKUP($A38,Data_Loss!$A$2:$V$100,8,FALSE),0)</f>
        <v>0</v>
      </c>
      <c r="G38" s="150">
        <f>+IFERROR(VLOOKUP($A38,Data_Loss!$A$2:$V$100,9,FALSE),0)</f>
        <v>1</v>
      </c>
      <c r="H38" s="150">
        <f>+IFERROR(VLOOKUP($A38,Data_Loss!$A$2:$V$100,10,FALSE),0)</f>
        <v>7</v>
      </c>
      <c r="I38" s="150">
        <f>+IFERROR(VLOOKUP($A38,Data_Loss!$A$2:$V$100,12,FALSE),0)</f>
        <v>0</v>
      </c>
      <c r="J38" s="150">
        <f>+IFERROR(VLOOKUP($A38,Data_Loss!$A$2:$V$100,13,FALSE),0)</f>
        <v>0</v>
      </c>
      <c r="K38" s="150">
        <f>+IFERROR(VLOOKUP($A38,Data_Loss!$A$2:$V$100,14,FALSE),0)</f>
        <v>0</v>
      </c>
      <c r="L38" s="150">
        <f>+IFERROR(VLOOKUP($A38,Data_Loss!$A$2:$V$100,15,FALSE),0)</f>
        <v>108270</v>
      </c>
      <c r="M38" s="150">
        <f>+IFERROR(VLOOKUP($A38,Data_Loss!$A$2:$V$100,16,FALSE),0)</f>
        <v>83425</v>
      </c>
      <c r="N38" s="150">
        <f>+IFERROR(VLOOKUP($A38,Data_Loss!$A$2:$V$100,17,FALSE),0)</f>
        <v>0</v>
      </c>
      <c r="O38" s="150">
        <f>+IFERROR(VLOOKUP($A38,Data_Loss!$A$2:$V$100,18,FALSE),0)</f>
        <v>0</v>
      </c>
      <c r="P38" s="150">
        <f>+IFERROR(VLOOKUP($A38,Data_Loss!$A$2:$V$100,19,FALSE),0)</f>
        <v>0</v>
      </c>
      <c r="Q38" s="150">
        <f>+IFERROR(VLOOKUP($A38,Data_Loss!$A$2:$V$100,20,FALSE),0)</f>
        <v>19560</v>
      </c>
      <c r="R38" s="150">
        <f>+IFERROR(VLOOKUP($A38,Data_Loss!$A$2:$V$100,21,FALSE),0)</f>
        <v>28392</v>
      </c>
      <c r="S38" s="150">
        <f>+IFERROR(VLOOKUP($A38,Data_Loss!$A$2:$V$100,22,FALSE),0)</f>
        <v>3910</v>
      </c>
      <c r="T38" s="580" cm="1">
        <f t="array" ref="T38">MMULT($I38:$M38,_xlfn._xlws.FILTER('10k &amp; MO'!C$3:C$31,'10k &amp; MO'!$B$3:$B$31=$C38,"0"))</f>
        <v>0</v>
      </c>
      <c r="U38" s="247" cm="1">
        <f t="array" ref="U38">MMULT($I38:$M38,_xlfn._xlws.FILTER('10k &amp; MO'!D$3:D$31,'10k &amp; MO'!$B$3:$B$31=$C38,"0"))</f>
        <v>0</v>
      </c>
      <c r="V38" s="247" cm="1">
        <f t="array" ref="V38">MMULT($I38:$M38,_xlfn._xlws.FILTER('10k &amp; MO'!E$3:E$31,'10k &amp; MO'!$B$3:$B$31=$C38,"0"))</f>
        <v>0</v>
      </c>
      <c r="W38" s="247" cm="1">
        <f t="array" ref="W38">MMULT($I38:$M38,_xlfn._xlws.FILTER('10k &amp; MO'!F$3:F$31,'10k &amp; MO'!$B$3:$B$31=$C38,"0"))</f>
        <v>326347.43400000001</v>
      </c>
      <c r="X38" s="247" cm="1">
        <f t="array" ref="X38">MMULT($I38:$M38,_xlfn._xlws.FILTER('10k &amp; MO'!G$3:G$31,'10k &amp; MO'!$B$3:$B$31=$C38,"0"))</f>
        <v>251459.63500000001</v>
      </c>
      <c r="Y38" s="148" cm="1">
        <f t="array" ref="Y38">MMULT($N38:$R38,_xlfn._xlws.FILTER('10k &amp; MO'!H$3:H$31,'10k &amp; MO'!$B$3:$B$31=$C38,"0"))</f>
        <v>0</v>
      </c>
      <c r="Z38" s="247" cm="1">
        <f t="array" ref="Z38">MMULT($N38:$R38,_xlfn._xlws.FILTER('10k &amp; MO'!I$3:I$31,'10k &amp; MO'!$B$3:$B$31=$C38,"0"))</f>
        <v>0</v>
      </c>
      <c r="AA38" s="247" cm="1">
        <f t="array" ref="AA38">MMULT($N38:$R38,_xlfn._xlws.FILTER('10k &amp; MO'!J$3:J$31,'10k &amp; MO'!$B$3:$B$31=$C38,"0"))</f>
        <v>0</v>
      </c>
      <c r="AB38" s="247" cm="1">
        <f t="array" ref="AB38">MMULT($N38:$R38,_xlfn._xlws.FILTER('10k &amp; MO'!K$3:K$31,'10k &amp; MO'!$B$3:$B$31=$C38,"0"))</f>
        <v>53766.528000000006</v>
      </c>
      <c r="AC38" s="248" cm="1">
        <f t="array" ref="AC38">MMULT($N38:$R38,_xlfn._xlws.FILTER('10k &amp; MO'!L$3:L$31,'10k &amp; MO'!$B$3:$B$31=$C38,"0"))</f>
        <v>78043.929600000003</v>
      </c>
      <c r="AD38" s="248">
        <f>S38*_xlfn.XLOOKUP(C38,'10k &amp; MO'!$N$3:$N$7,'10k &amp; MO'!$O$3:$O$7)</f>
        <v>4508.2300000000005</v>
      </c>
      <c r="AF38" s="149" t="str">
        <f t="shared" ref="AF38:AF40" si="62">+B38&amp;C38</f>
        <v>7327F2019</v>
      </c>
      <c r="AG38" s="149">
        <f>+IFERROR(VLOOKUP($AF38,'Limited Loss'!$F$5:$P$24,AG$3,FALSE),0)</f>
        <v>0</v>
      </c>
      <c r="AH38" s="150">
        <f>+IFERROR(VLOOKUP($AF38,'Limited Loss'!$F$5:$P$24,AH$3,FALSE),0)</f>
        <v>0</v>
      </c>
      <c r="AI38" s="150">
        <f>+IFERROR(VLOOKUP($AF38,'Limited Loss'!$F$5:$P$24,AI$3,FALSE),0)</f>
        <v>0</v>
      </c>
      <c r="AJ38" s="150">
        <f>+IFERROR(VLOOKUP($AF38,'Limited Loss'!$F$5:$P$24,AJ$3,FALSE),0)</f>
        <v>0</v>
      </c>
      <c r="AK38" s="86">
        <f>+IFERROR(VLOOKUP($AF38,'Limited Loss'!$F$5:$P$24,AK$3,FALSE),0)</f>
        <v>0</v>
      </c>
      <c r="AL38" s="150">
        <f>+IFERROR(VLOOKUP($AF38,'Limited Loss'!$F$5:$P$24,AL$3,FALSE),0)</f>
        <v>0</v>
      </c>
      <c r="AM38" s="150">
        <f>+IFERROR(VLOOKUP($AF38,'Limited Loss'!$F$5:$P$24,AM$3,FALSE),0)</f>
        <v>0</v>
      </c>
      <c r="AN38" s="150">
        <f>+IFERROR(VLOOKUP($AF38,'Limited Loss'!$F$5:$P$24,AN$3,FALSE),0)</f>
        <v>0</v>
      </c>
      <c r="AO38" s="150">
        <f>+IFERROR(VLOOKUP($AF38,'Limited Loss'!$F$5:$P$24,AO$3,FALSE),0)</f>
        <v>0</v>
      </c>
      <c r="AP38" s="86">
        <f>+IFERROR(VLOOKUP($AF38,'Limited Loss'!$F$5:$P$24,AP$3,FALSE),0)</f>
        <v>0</v>
      </c>
      <c r="AQ38" s="150"/>
      <c r="AR38" s="59" t="str">
        <f t="shared" ref="AR38:AR40" si="63">+B38</f>
        <v>7327F</v>
      </c>
      <c r="AS38" s="188">
        <f t="shared" ref="AS38:AS40" si="64">+C38</f>
        <v>2019</v>
      </c>
      <c r="AT38" s="247">
        <f t="shared" ref="AT38:AT40" si="65">+T38-AG38</f>
        <v>0</v>
      </c>
      <c r="AU38" s="247">
        <f t="shared" ref="AU38:AU40" si="66">+U38-AH38</f>
        <v>0</v>
      </c>
      <c r="AV38" s="247">
        <f t="shared" ref="AV38:AV40" si="67">+V38-AI38</f>
        <v>0</v>
      </c>
      <c r="AW38" s="247">
        <f t="shared" ref="AW38:AW40" si="68">+W38-AJ38</f>
        <v>326347.43400000001</v>
      </c>
      <c r="AX38" s="248">
        <f t="shared" ref="AX38:AX40" si="69">+X38-AK38</f>
        <v>251459.63500000001</v>
      </c>
      <c r="AY38" s="247">
        <f t="shared" ref="AY38:AY40" si="70">+Y38-AL38</f>
        <v>0</v>
      </c>
      <c r="AZ38" s="247">
        <f t="shared" ref="AZ38:AZ40" si="71">+Z38-AM38</f>
        <v>0</v>
      </c>
      <c r="BA38" s="247">
        <f t="shared" ref="BA38:BA40" si="72">+AA38-AN38</f>
        <v>0</v>
      </c>
      <c r="BB38" s="247">
        <f t="shared" ref="BB38:BB40" si="73">+AB38-AO38</f>
        <v>53766.528000000006</v>
      </c>
      <c r="BC38" s="247">
        <f t="shared" ref="BC38:BC40" si="74">+AC38-AP38</f>
        <v>78043.929600000003</v>
      </c>
      <c r="BD38" s="248">
        <f t="shared" ref="BD38:BD40" si="75">+AD38-AQ38</f>
        <v>4508.2300000000005</v>
      </c>
      <c r="BE38" s="247">
        <f t="shared" ref="BE38:BE40" si="76">+AT38+AU38+AV38+AY38+AZ38+BA38</f>
        <v>0</v>
      </c>
      <c r="BF38" s="150">
        <f t="shared" ref="BF38:BF40" si="77">+AW38+AX38+BB38+BC38</f>
        <v>709617.5266000001</v>
      </c>
      <c r="BG38" s="86">
        <f t="shared" ref="BG38:BG40" si="78">+BD38</f>
        <v>4508.2300000000005</v>
      </c>
      <c r="BI38"/>
      <c r="BJ38"/>
      <c r="BK38"/>
      <c r="BL38"/>
    </row>
    <row r="39" spans="1:64" ht="14.6">
      <c r="A39" s="44" t="str">
        <f t="shared" si="61"/>
        <v>7366F2019</v>
      </c>
      <c r="B39" s="44" t="str">
        <f>Data_Loss!X36</f>
        <v>7366F</v>
      </c>
      <c r="C39" s="289">
        <f>Data_Loss!E36</f>
        <v>2019</v>
      </c>
      <c r="D39" s="150">
        <f>+IFERROR(VLOOKUP($A39,Data_Loss!$A$2:$V$100,6,FALSE),0)</f>
        <v>0</v>
      </c>
      <c r="E39" s="150">
        <f>+IFERROR(VLOOKUP($A39,Data_Loss!$A$2:$V$100,7,FALSE),0)</f>
        <v>0</v>
      </c>
      <c r="F39" s="150">
        <f>+IFERROR(VLOOKUP($A39,Data_Loss!$A$2:$V$100,8,FALSE),0)</f>
        <v>1</v>
      </c>
      <c r="G39" s="150">
        <f>+IFERROR(VLOOKUP($A39,Data_Loss!$A$2:$V$100,9,FALSE),0)</f>
        <v>1</v>
      </c>
      <c r="H39" s="150">
        <f>+IFERROR(VLOOKUP($A39,Data_Loss!$A$2:$V$100,10,FALSE),0)</f>
        <v>12</v>
      </c>
      <c r="I39" s="150">
        <f>+IFERROR(VLOOKUP($A39,Data_Loss!$A$2:$V$100,12,FALSE),0)</f>
        <v>0</v>
      </c>
      <c r="J39" s="150">
        <f>+IFERROR(VLOOKUP($A39,Data_Loss!$A$2:$V$100,13,FALSE),0)</f>
        <v>0</v>
      </c>
      <c r="K39" s="150">
        <f>+IFERROR(VLOOKUP($A39,Data_Loss!$A$2:$V$100,14,FALSE),0)</f>
        <v>231692</v>
      </c>
      <c r="L39" s="150">
        <f>+IFERROR(VLOOKUP($A39,Data_Loss!$A$2:$V$100,15,FALSE),0)</f>
        <v>109014</v>
      </c>
      <c r="M39" s="150">
        <f>+IFERROR(VLOOKUP($A39,Data_Loss!$A$2:$V$100,16,FALSE),0)</f>
        <v>81892</v>
      </c>
      <c r="N39" s="150">
        <f>+IFERROR(VLOOKUP($A39,Data_Loss!$A$2:$V$100,17,FALSE),0)</f>
        <v>0</v>
      </c>
      <c r="O39" s="150">
        <f>+IFERROR(VLOOKUP($A39,Data_Loss!$A$2:$V$100,18,FALSE),0)</f>
        <v>0</v>
      </c>
      <c r="P39" s="150">
        <f>+IFERROR(VLOOKUP($A39,Data_Loss!$A$2:$V$100,19,FALSE),0)</f>
        <v>95514</v>
      </c>
      <c r="Q39" s="150">
        <f>+IFERROR(VLOOKUP($A39,Data_Loss!$A$2:$V$100,20,FALSE),0)</f>
        <v>42295</v>
      </c>
      <c r="R39" s="150">
        <f>+IFERROR(VLOOKUP($A39,Data_Loss!$A$2:$V$100,21,FALSE),0)</f>
        <v>38849</v>
      </c>
      <c r="S39" s="150">
        <f>+IFERROR(VLOOKUP($A39,Data_Loss!$A$2:$V$100,22,FALSE),0)</f>
        <v>14441</v>
      </c>
      <c r="T39" s="580" cm="1">
        <f t="array" ref="T39">MMULT($I39:$M39,_xlfn._xlws.FILTER('10k &amp; MO'!C$3:C$31,'10k &amp; MO'!$B$3:$B$31=$C39,"0"))</f>
        <v>0</v>
      </c>
      <c r="U39" s="247" cm="1">
        <f t="array" ref="U39">MMULT($I39:$M39,_xlfn._xlws.FILTER('10k &amp; MO'!D$3:D$31,'10k &amp; MO'!$B$3:$B$31=$C39,"0"))</f>
        <v>0</v>
      </c>
      <c r="V39" s="247" cm="1">
        <f t="array" ref="V39">MMULT($I39:$M39,_xlfn._xlws.FILTER('10k &amp; MO'!E$3:E$31,'10k &amp; MO'!$B$3:$B$31=$C39,"0"))</f>
        <v>698366.02640000009</v>
      </c>
      <c r="W39" s="247" cm="1">
        <f t="array" ref="W39">MMULT($I39:$M39,_xlfn._xlws.FILTER('10k &amp; MO'!F$3:F$31,'10k &amp; MO'!$B$3:$B$31=$C39,"0"))</f>
        <v>328589.9988</v>
      </c>
      <c r="X39" s="247" cm="1">
        <f t="array" ref="X39">MMULT($I39:$M39,_xlfn._xlws.FILTER('10k &amp; MO'!G$3:G$31,'10k &amp; MO'!$B$3:$B$31=$C39,"0"))</f>
        <v>246838.86640000003</v>
      </c>
      <c r="Y39" s="148" cm="1">
        <f t="array" ref="Y39">MMULT($N39:$R39,_xlfn._xlws.FILTER('10k &amp; MO'!H$3:H$31,'10k &amp; MO'!$B$3:$B$31=$C39,"0"))</f>
        <v>0</v>
      </c>
      <c r="Z39" s="247" cm="1">
        <f t="array" ref="Z39">MMULT($N39:$R39,_xlfn._xlws.FILTER('10k &amp; MO'!I$3:I$31,'10k &amp; MO'!$B$3:$B$31=$C39,"0"))</f>
        <v>0</v>
      </c>
      <c r="AA39" s="247" cm="1">
        <f t="array" ref="AA39">MMULT($N39:$R39,_xlfn._xlws.FILTER('10k &amp; MO'!J$3:J$31,'10k &amp; MO'!$B$3:$B$31=$C39,"0"))</f>
        <v>262548.88320000004</v>
      </c>
      <c r="AB39" s="247" cm="1">
        <f t="array" ref="AB39">MMULT($N39:$R39,_xlfn._xlws.FILTER('10k &amp; MO'!K$3:K$31,'10k &amp; MO'!$B$3:$B$31=$C39,"0"))</f>
        <v>116260.496</v>
      </c>
      <c r="AC39" s="248" cm="1">
        <f t="array" ref="AC39">MMULT($N39:$R39,_xlfn._xlws.FILTER('10k &amp; MO'!L$3:L$31,'10k &amp; MO'!$B$3:$B$31=$C39,"0"))</f>
        <v>106788.1312</v>
      </c>
      <c r="AD39" s="248">
        <f>S39*_xlfn.XLOOKUP(C39,'10k &amp; MO'!$N$3:$N$7,'10k &amp; MO'!$O$3:$O$7)</f>
        <v>16650.473000000002</v>
      </c>
      <c r="AF39" s="149" t="str">
        <f t="shared" si="62"/>
        <v>7366F2019</v>
      </c>
      <c r="AG39" s="149">
        <f>+IFERROR(VLOOKUP($AF39,'Limited Loss'!$F$5:$P$24,AG$3,FALSE),0)</f>
        <v>0</v>
      </c>
      <c r="AH39" s="150">
        <f>+IFERROR(VLOOKUP($AF39,'Limited Loss'!$F$5:$P$24,AH$3,FALSE),0)</f>
        <v>0</v>
      </c>
      <c r="AI39" s="150">
        <f>+IFERROR(VLOOKUP($AF39,'Limited Loss'!$F$5:$P$24,AI$3,FALSE),0)</f>
        <v>0</v>
      </c>
      <c r="AJ39" s="150">
        <f>+IFERROR(VLOOKUP($AF39,'Limited Loss'!$F$5:$P$24,AJ$3,FALSE),0)</f>
        <v>0</v>
      </c>
      <c r="AK39" s="86">
        <f>+IFERROR(VLOOKUP($AF39,'Limited Loss'!$F$5:$P$24,AK$3,FALSE),0)</f>
        <v>0</v>
      </c>
      <c r="AL39" s="150">
        <f>+IFERROR(VLOOKUP($AF39,'Limited Loss'!$F$5:$P$24,AL$3,FALSE),0)</f>
        <v>0</v>
      </c>
      <c r="AM39" s="150">
        <f>+IFERROR(VLOOKUP($AF39,'Limited Loss'!$F$5:$P$24,AM$3,FALSE),0)</f>
        <v>0</v>
      </c>
      <c r="AN39" s="150">
        <f>+IFERROR(VLOOKUP($AF39,'Limited Loss'!$F$5:$P$24,AN$3,FALSE),0)</f>
        <v>0</v>
      </c>
      <c r="AO39" s="150">
        <f>+IFERROR(VLOOKUP($AF39,'Limited Loss'!$F$5:$P$24,AO$3,FALSE),0)</f>
        <v>0</v>
      </c>
      <c r="AP39" s="86">
        <f>+IFERROR(VLOOKUP($AF39,'Limited Loss'!$F$5:$P$24,AP$3,FALSE),0)</f>
        <v>0</v>
      </c>
      <c r="AQ39" s="150"/>
      <c r="AR39" s="59" t="str">
        <f t="shared" si="63"/>
        <v>7366F</v>
      </c>
      <c r="AS39" s="188">
        <f t="shared" si="64"/>
        <v>2019</v>
      </c>
      <c r="AT39" s="247">
        <f t="shared" si="65"/>
        <v>0</v>
      </c>
      <c r="AU39" s="247">
        <f t="shared" si="66"/>
        <v>0</v>
      </c>
      <c r="AV39" s="247">
        <f t="shared" si="67"/>
        <v>698366.02640000009</v>
      </c>
      <c r="AW39" s="247">
        <f t="shared" si="68"/>
        <v>328589.9988</v>
      </c>
      <c r="AX39" s="248">
        <f t="shared" si="69"/>
        <v>246838.86640000003</v>
      </c>
      <c r="AY39" s="247">
        <f t="shared" si="70"/>
        <v>0</v>
      </c>
      <c r="AZ39" s="247">
        <f t="shared" si="71"/>
        <v>0</v>
      </c>
      <c r="BA39" s="247">
        <f t="shared" si="72"/>
        <v>262548.88320000004</v>
      </c>
      <c r="BB39" s="247">
        <f t="shared" si="73"/>
        <v>116260.496</v>
      </c>
      <c r="BC39" s="247">
        <f t="shared" si="74"/>
        <v>106788.1312</v>
      </c>
      <c r="BD39" s="248">
        <f t="shared" si="75"/>
        <v>16650.473000000002</v>
      </c>
      <c r="BE39" s="247">
        <f t="shared" si="76"/>
        <v>960914.90960000013</v>
      </c>
      <c r="BF39" s="150">
        <f t="shared" si="77"/>
        <v>798477.4924000001</v>
      </c>
      <c r="BG39" s="86">
        <f t="shared" si="78"/>
        <v>16650.473000000002</v>
      </c>
      <c r="BI39"/>
      <c r="BJ39"/>
      <c r="BK39"/>
      <c r="BL39"/>
    </row>
    <row r="40" spans="1:64" ht="14.6">
      <c r="A40" s="44" t="str">
        <f t="shared" si="61"/>
        <v>8709F2019</v>
      </c>
      <c r="B40" s="44" t="str">
        <f>Data_Loss!X37</f>
        <v>8709F</v>
      </c>
      <c r="C40" s="289">
        <f>Data_Loss!E37</f>
        <v>2019</v>
      </c>
      <c r="D40" s="150">
        <f>+IFERROR(VLOOKUP($A40,Data_Loss!$A$2:$V$100,6,FALSE),0)</f>
        <v>0</v>
      </c>
      <c r="E40" s="150">
        <f>+IFERROR(VLOOKUP($A40,Data_Loss!$A$2:$V$100,7,FALSE),0)</f>
        <v>0</v>
      </c>
      <c r="F40" s="150">
        <f>+IFERROR(VLOOKUP($A40,Data_Loss!$A$2:$V$100,8,FALSE),0)</f>
        <v>0</v>
      </c>
      <c r="G40" s="150">
        <f>+IFERROR(VLOOKUP($A40,Data_Loss!$A$2:$V$100,9,FALSE),0)</f>
        <v>0</v>
      </c>
      <c r="H40" s="150">
        <f>+IFERROR(VLOOKUP($A40,Data_Loss!$A$2:$V$100,10,FALSE),0)</f>
        <v>0</v>
      </c>
      <c r="I40" s="150">
        <f>+IFERROR(VLOOKUP($A40,Data_Loss!$A$2:$V$100,12,FALSE),0)</f>
        <v>0</v>
      </c>
      <c r="J40" s="150">
        <f>+IFERROR(VLOOKUP($A40,Data_Loss!$A$2:$V$100,13,FALSE),0)</f>
        <v>0</v>
      </c>
      <c r="K40" s="150">
        <f>+IFERROR(VLOOKUP($A40,Data_Loss!$A$2:$V$100,14,FALSE),0)</f>
        <v>0</v>
      </c>
      <c r="L40" s="150">
        <f>+IFERROR(VLOOKUP($A40,Data_Loss!$A$2:$V$100,15,FALSE),0)</f>
        <v>0</v>
      </c>
      <c r="M40" s="150">
        <f>+IFERROR(VLOOKUP($A40,Data_Loss!$A$2:$V$100,16,FALSE),0)</f>
        <v>0</v>
      </c>
      <c r="N40" s="150">
        <f>+IFERROR(VLOOKUP($A40,Data_Loss!$A$2:$V$100,17,FALSE),0)</f>
        <v>0</v>
      </c>
      <c r="O40" s="150">
        <f>+IFERROR(VLOOKUP($A40,Data_Loss!$A$2:$V$100,18,FALSE),0)</f>
        <v>0</v>
      </c>
      <c r="P40" s="150">
        <f>+IFERROR(VLOOKUP($A40,Data_Loss!$A$2:$V$100,19,FALSE),0)</f>
        <v>0</v>
      </c>
      <c r="Q40" s="150">
        <f>+IFERROR(VLOOKUP($A40,Data_Loss!$A$2:$V$100,20,FALSE),0)</f>
        <v>0</v>
      </c>
      <c r="R40" s="150">
        <f>+IFERROR(VLOOKUP($A40,Data_Loss!$A$2:$V$100,21,FALSE),0)</f>
        <v>0</v>
      </c>
      <c r="S40" s="150">
        <f>+IFERROR(VLOOKUP($A40,Data_Loss!$A$2:$V$100,22,FALSE),0)</f>
        <v>82</v>
      </c>
      <c r="T40" s="580" cm="1">
        <f t="array" ref="T40">MMULT($I40:$M40,_xlfn._xlws.FILTER('10k &amp; MO'!C$3:C$31,'10k &amp; MO'!$B$3:$B$31=$C40,"0"))</f>
        <v>0</v>
      </c>
      <c r="U40" s="247" cm="1">
        <f t="array" ref="U40">MMULT($I40:$M40,_xlfn._xlws.FILTER('10k &amp; MO'!D$3:D$31,'10k &amp; MO'!$B$3:$B$31=$C40,"0"))</f>
        <v>0</v>
      </c>
      <c r="V40" s="247" cm="1">
        <f t="array" ref="V40">MMULT($I40:$M40,_xlfn._xlws.FILTER('10k &amp; MO'!E$3:E$31,'10k &amp; MO'!$B$3:$B$31=$C40,"0"))</f>
        <v>0</v>
      </c>
      <c r="W40" s="247" cm="1">
        <f t="array" ref="W40">MMULT($I40:$M40,_xlfn._xlws.FILTER('10k &amp; MO'!F$3:F$31,'10k &amp; MO'!$B$3:$B$31=$C40,"0"))</f>
        <v>0</v>
      </c>
      <c r="X40" s="247" cm="1">
        <f t="array" ref="X40">MMULT($I40:$M40,_xlfn._xlws.FILTER('10k &amp; MO'!G$3:G$31,'10k &amp; MO'!$B$3:$B$31=$C40,"0"))</f>
        <v>0</v>
      </c>
      <c r="Y40" s="148" cm="1">
        <f t="array" ref="Y40">MMULT($N40:$R40,_xlfn._xlws.FILTER('10k &amp; MO'!H$3:H$31,'10k &amp; MO'!$B$3:$B$31=$C40,"0"))</f>
        <v>0</v>
      </c>
      <c r="Z40" s="247" cm="1">
        <f t="array" ref="Z40">MMULT($N40:$R40,_xlfn._xlws.FILTER('10k &amp; MO'!I$3:I$31,'10k &amp; MO'!$B$3:$B$31=$C40,"0"))</f>
        <v>0</v>
      </c>
      <c r="AA40" s="247" cm="1">
        <f t="array" ref="AA40">MMULT($N40:$R40,_xlfn._xlws.FILTER('10k &amp; MO'!J$3:J$31,'10k &amp; MO'!$B$3:$B$31=$C40,"0"))</f>
        <v>0</v>
      </c>
      <c r="AB40" s="247" cm="1">
        <f t="array" ref="AB40">MMULT($N40:$R40,_xlfn._xlws.FILTER('10k &amp; MO'!K$3:K$31,'10k &amp; MO'!$B$3:$B$31=$C40,"0"))</f>
        <v>0</v>
      </c>
      <c r="AC40" s="248" cm="1">
        <f t="array" ref="AC40">MMULT($N40:$R40,_xlfn._xlws.FILTER('10k &amp; MO'!L$3:L$31,'10k &amp; MO'!$B$3:$B$31=$C40,"0"))</f>
        <v>0</v>
      </c>
      <c r="AD40" s="248">
        <f>S40*_xlfn.XLOOKUP(C40,'10k &amp; MO'!$N$3:$N$7,'10k &amp; MO'!$O$3:$O$7)</f>
        <v>94.546000000000006</v>
      </c>
      <c r="AF40" s="149" t="str">
        <f t="shared" si="62"/>
        <v>8709F2019</v>
      </c>
      <c r="AG40" s="149">
        <f>+IFERROR(VLOOKUP($AF40,'Limited Loss'!$F$5:$P$24,AG$3,FALSE),0)</f>
        <v>0</v>
      </c>
      <c r="AH40" s="150">
        <f>+IFERROR(VLOOKUP($AF40,'Limited Loss'!$F$5:$P$24,AH$3,FALSE),0)</f>
        <v>0</v>
      </c>
      <c r="AI40" s="150">
        <f>+IFERROR(VLOOKUP($AF40,'Limited Loss'!$F$5:$P$24,AI$3,FALSE),0)</f>
        <v>0</v>
      </c>
      <c r="AJ40" s="150">
        <f>+IFERROR(VLOOKUP($AF40,'Limited Loss'!$F$5:$P$24,AJ$3,FALSE),0)</f>
        <v>0</v>
      </c>
      <c r="AK40" s="86">
        <f>+IFERROR(VLOOKUP($AF40,'Limited Loss'!$F$5:$P$24,AK$3,FALSE),0)</f>
        <v>0</v>
      </c>
      <c r="AL40" s="150">
        <f>+IFERROR(VLOOKUP($AF40,'Limited Loss'!$F$5:$P$24,AL$3,FALSE),0)</f>
        <v>0</v>
      </c>
      <c r="AM40" s="150">
        <f>+IFERROR(VLOOKUP($AF40,'Limited Loss'!$F$5:$P$24,AM$3,FALSE),0)</f>
        <v>0</v>
      </c>
      <c r="AN40" s="150">
        <f>+IFERROR(VLOOKUP($AF40,'Limited Loss'!$F$5:$P$24,AN$3,FALSE),0)</f>
        <v>0</v>
      </c>
      <c r="AO40" s="150">
        <f>+IFERROR(VLOOKUP($AF40,'Limited Loss'!$F$5:$P$24,AO$3,FALSE),0)</f>
        <v>0</v>
      </c>
      <c r="AP40" s="86">
        <f>+IFERROR(VLOOKUP($AF40,'Limited Loss'!$F$5:$P$24,AP$3,FALSE),0)</f>
        <v>0</v>
      </c>
      <c r="AQ40" s="150"/>
      <c r="AR40" s="59" t="str">
        <f t="shared" si="63"/>
        <v>8709F</v>
      </c>
      <c r="AS40" s="188">
        <f t="shared" si="64"/>
        <v>2019</v>
      </c>
      <c r="AT40" s="247">
        <f t="shared" si="65"/>
        <v>0</v>
      </c>
      <c r="AU40" s="247">
        <f t="shared" si="66"/>
        <v>0</v>
      </c>
      <c r="AV40" s="247">
        <f t="shared" si="67"/>
        <v>0</v>
      </c>
      <c r="AW40" s="247">
        <f t="shared" si="68"/>
        <v>0</v>
      </c>
      <c r="AX40" s="248">
        <f t="shared" si="69"/>
        <v>0</v>
      </c>
      <c r="AY40" s="247">
        <f t="shared" si="70"/>
        <v>0</v>
      </c>
      <c r="AZ40" s="247">
        <f t="shared" si="71"/>
        <v>0</v>
      </c>
      <c r="BA40" s="247">
        <f t="shared" si="72"/>
        <v>0</v>
      </c>
      <c r="BB40" s="247">
        <f t="shared" si="73"/>
        <v>0</v>
      </c>
      <c r="BC40" s="247">
        <f t="shared" si="74"/>
        <v>0</v>
      </c>
      <c r="BD40" s="248">
        <f t="shared" si="75"/>
        <v>94.546000000000006</v>
      </c>
      <c r="BE40" s="247">
        <f t="shared" si="76"/>
        <v>0</v>
      </c>
      <c r="BF40" s="150">
        <f t="shared" si="77"/>
        <v>0</v>
      </c>
      <c r="BG40" s="86">
        <f t="shared" si="78"/>
        <v>94.546000000000006</v>
      </c>
      <c r="BI40"/>
      <c r="BJ40"/>
      <c r="BK40"/>
      <c r="BL40"/>
    </row>
    <row r="41" spans="1:64" ht="14.6">
      <c r="C41" s="289"/>
      <c r="D41" s="150"/>
      <c r="E41" s="150"/>
      <c r="F41" s="150"/>
      <c r="G41" s="150"/>
      <c r="H41" s="150"/>
      <c r="I41" s="150"/>
      <c r="J41" s="150"/>
      <c r="K41" s="150"/>
      <c r="L41" s="150"/>
      <c r="M41" s="150"/>
      <c r="N41" s="150"/>
      <c r="O41" s="150"/>
      <c r="P41" s="150"/>
      <c r="Q41" s="150"/>
      <c r="R41" s="150"/>
      <c r="S41" s="150"/>
      <c r="T41" s="580"/>
      <c r="U41" s="247"/>
      <c r="V41" s="247"/>
      <c r="W41" s="247"/>
      <c r="X41" s="247"/>
      <c r="Y41" s="148"/>
      <c r="Z41" s="247"/>
      <c r="AA41" s="247"/>
      <c r="AB41" s="247"/>
      <c r="AC41" s="248"/>
      <c r="AD41" s="248"/>
      <c r="AF41" s="149"/>
      <c r="AG41" s="149"/>
      <c r="AH41" s="150"/>
      <c r="AI41" s="150"/>
      <c r="AJ41" s="150"/>
      <c r="AK41" s="86"/>
      <c r="AL41" s="150"/>
      <c r="AM41" s="150"/>
      <c r="AN41" s="150"/>
      <c r="AO41" s="150"/>
      <c r="AP41" s="86"/>
      <c r="AQ41" s="150"/>
      <c r="AR41" s="59"/>
      <c r="AS41" s="188"/>
      <c r="AT41" s="247"/>
      <c r="AU41" s="247"/>
      <c r="AV41" s="247"/>
      <c r="AW41" s="247"/>
      <c r="AX41" s="248"/>
      <c r="AY41" s="247"/>
      <c r="AZ41" s="247"/>
      <c r="BA41" s="247"/>
      <c r="BB41" s="247"/>
      <c r="BC41" s="247"/>
      <c r="BD41" s="248"/>
      <c r="BE41" s="247"/>
      <c r="BF41" s="150"/>
      <c r="BG41" s="86"/>
      <c r="BI41"/>
      <c r="BJ41"/>
      <c r="BK41"/>
      <c r="BL41"/>
    </row>
    <row r="42" spans="1:64" ht="14.6">
      <c r="C42" s="289"/>
      <c r="D42" s="150"/>
      <c r="E42" s="150"/>
      <c r="F42" s="150"/>
      <c r="G42" s="150"/>
      <c r="H42" s="150"/>
      <c r="I42" s="150"/>
      <c r="J42" s="150"/>
      <c r="K42" s="150"/>
      <c r="L42" s="150"/>
      <c r="M42" s="150"/>
      <c r="N42" s="150"/>
      <c r="O42" s="150"/>
      <c r="P42" s="150"/>
      <c r="Q42" s="150"/>
      <c r="R42" s="150"/>
      <c r="S42" s="150"/>
      <c r="T42" s="186"/>
      <c r="U42" s="186"/>
      <c r="V42" s="186"/>
      <c r="W42" s="186"/>
      <c r="X42" s="186"/>
      <c r="Y42" s="186"/>
      <c r="Z42" s="186"/>
      <c r="AA42" s="186"/>
      <c r="AB42" s="186"/>
      <c r="AC42" s="186"/>
      <c r="AD42" s="186"/>
      <c r="AF42" s="150"/>
      <c r="AG42" s="150"/>
      <c r="AH42" s="150"/>
      <c r="AI42" s="150"/>
      <c r="AJ42" s="150"/>
      <c r="AK42" s="150"/>
      <c r="AL42" s="150"/>
      <c r="AM42" s="150"/>
      <c r="AN42" s="150"/>
      <c r="AO42" s="150"/>
      <c r="AP42" s="150"/>
      <c r="AQ42" s="150"/>
      <c r="AT42" s="186"/>
      <c r="AU42" s="186"/>
      <c r="AV42" s="186"/>
      <c r="AW42" s="186"/>
      <c r="AX42" s="186"/>
      <c r="AY42" s="186"/>
      <c r="AZ42" s="186"/>
      <c r="BA42" s="186"/>
      <c r="BB42" s="186"/>
      <c r="BC42" s="186"/>
      <c r="BD42" s="186"/>
      <c r="BE42" s="186"/>
      <c r="BF42" s="150"/>
      <c r="BG42" s="150"/>
      <c r="BI42"/>
      <c r="BJ42"/>
      <c r="BK42"/>
      <c r="BL42"/>
    </row>
    <row r="43" spans="1:64" ht="14.6">
      <c r="C43" s="289"/>
      <c r="D43" s="150"/>
      <c r="E43" s="150"/>
      <c r="F43" s="150"/>
      <c r="G43" s="150"/>
      <c r="H43" s="150"/>
      <c r="I43" s="150"/>
      <c r="J43" s="150"/>
      <c r="K43" s="150"/>
      <c r="L43" s="150"/>
      <c r="M43" s="150"/>
      <c r="N43" s="150"/>
      <c r="O43" s="150"/>
      <c r="P43" s="150"/>
      <c r="Q43" s="150"/>
      <c r="R43" s="150"/>
      <c r="S43" s="150"/>
      <c r="T43" s="186"/>
      <c r="U43" s="186"/>
      <c r="V43" s="186"/>
      <c r="W43" s="186"/>
      <c r="X43" s="186"/>
      <c r="Y43" s="186"/>
      <c r="Z43" s="186"/>
      <c r="AA43" s="186"/>
      <c r="AB43" s="186"/>
      <c r="AC43" s="186"/>
      <c r="AD43" s="186"/>
      <c r="AF43" s="150"/>
      <c r="AG43" s="150"/>
      <c r="AH43" s="150"/>
      <c r="AI43" s="150"/>
      <c r="AJ43" s="150"/>
      <c r="AK43" s="150"/>
      <c r="AL43" s="150"/>
      <c r="AM43" s="150"/>
      <c r="AN43" s="150"/>
      <c r="AO43" s="150"/>
      <c r="AP43" s="150"/>
      <c r="AQ43" s="150"/>
      <c r="AT43" s="186"/>
      <c r="AU43" s="186"/>
      <c r="AV43" s="186"/>
      <c r="AW43" s="186"/>
      <c r="AX43" s="186"/>
      <c r="AY43" s="186"/>
      <c r="AZ43" s="186"/>
      <c r="BA43" s="186"/>
      <c r="BB43" s="186"/>
      <c r="BC43" s="186"/>
      <c r="BD43" s="186"/>
      <c r="BE43" s="186"/>
      <c r="BF43" s="150"/>
      <c r="BG43" s="150"/>
      <c r="BI43"/>
      <c r="BJ43"/>
      <c r="BK43"/>
      <c r="BL43"/>
    </row>
    <row r="44" spans="1:64" ht="14.6">
      <c r="C44" s="289"/>
      <c r="D44" s="150"/>
      <c r="E44" s="150"/>
      <c r="F44" s="150"/>
      <c r="G44" s="150"/>
      <c r="H44" s="150"/>
      <c r="I44" s="150"/>
      <c r="J44" s="150"/>
      <c r="K44" s="150"/>
      <c r="L44" s="150"/>
      <c r="M44" s="150"/>
      <c r="N44" s="150"/>
      <c r="O44" s="150"/>
      <c r="P44" s="150"/>
      <c r="Q44" s="150"/>
      <c r="R44" s="150"/>
      <c r="S44" s="150"/>
      <c r="T44" s="186"/>
      <c r="U44" s="186"/>
      <c r="V44" s="186"/>
      <c r="W44" s="186"/>
      <c r="X44" s="186"/>
      <c r="Y44" s="186"/>
      <c r="Z44" s="186"/>
      <c r="AA44" s="186"/>
      <c r="AB44" s="186"/>
      <c r="AC44" s="186"/>
      <c r="AD44" s="186"/>
      <c r="AF44" s="150"/>
      <c r="AG44" s="150"/>
      <c r="AH44" s="150"/>
      <c r="AI44" s="150"/>
      <c r="AJ44" s="150"/>
      <c r="AK44" s="150"/>
      <c r="AL44" s="150"/>
      <c r="AM44" s="150"/>
      <c r="AN44" s="150"/>
      <c r="AO44" s="150"/>
      <c r="AP44" s="150"/>
      <c r="AQ44" s="150"/>
      <c r="AT44" s="186"/>
      <c r="AU44" s="186"/>
      <c r="AV44" s="186"/>
      <c r="AW44" s="186"/>
      <c r="AX44" s="186"/>
      <c r="AY44" s="186"/>
      <c r="AZ44" s="186"/>
      <c r="BA44" s="186"/>
      <c r="BB44" s="186"/>
      <c r="BC44" s="186"/>
      <c r="BD44" s="186"/>
      <c r="BE44" s="186"/>
      <c r="BF44" s="150"/>
      <c r="BG44" s="150"/>
      <c r="BI44"/>
      <c r="BJ44"/>
      <c r="BK44"/>
      <c r="BL44"/>
    </row>
    <row r="45" spans="1:64" ht="14.6">
      <c r="C45" s="289"/>
      <c r="D45" s="150"/>
      <c r="E45" s="150"/>
      <c r="F45" s="150"/>
      <c r="G45" s="150"/>
      <c r="H45" s="150"/>
      <c r="I45" s="150"/>
      <c r="J45" s="150"/>
      <c r="K45" s="150"/>
      <c r="L45" s="150"/>
      <c r="M45" s="150"/>
      <c r="N45" s="150"/>
      <c r="O45" s="150"/>
      <c r="P45" s="150"/>
      <c r="Q45" s="150"/>
      <c r="R45" s="150"/>
      <c r="S45" s="150"/>
      <c r="T45" s="186"/>
      <c r="U45" s="186"/>
      <c r="V45" s="186"/>
      <c r="W45" s="186"/>
      <c r="X45" s="186"/>
      <c r="Y45" s="186"/>
      <c r="Z45" s="186"/>
      <c r="AA45" s="186"/>
      <c r="AB45" s="186"/>
      <c r="AC45" s="186"/>
      <c r="AD45" s="186"/>
      <c r="AF45" s="150"/>
      <c r="AG45" s="150"/>
      <c r="AH45" s="150"/>
      <c r="AI45" s="150"/>
      <c r="AJ45" s="150"/>
      <c r="AK45" s="150"/>
      <c r="AL45" s="150"/>
      <c r="AM45" s="150"/>
      <c r="AN45" s="150"/>
      <c r="AO45" s="150"/>
      <c r="AP45" s="150"/>
      <c r="AQ45" s="150"/>
      <c r="AT45" s="186"/>
      <c r="AU45" s="186"/>
      <c r="AV45" s="186"/>
      <c r="AW45" s="186"/>
      <c r="AX45" s="186"/>
      <c r="AY45" s="186"/>
      <c r="AZ45" s="186"/>
      <c r="BA45" s="186"/>
      <c r="BB45" s="186"/>
      <c r="BC45" s="186"/>
      <c r="BD45" s="186"/>
      <c r="BE45" s="186"/>
      <c r="BF45" s="150"/>
      <c r="BG45" s="150"/>
      <c r="BI45"/>
      <c r="BJ45"/>
      <c r="BK45"/>
      <c r="BL45"/>
    </row>
    <row r="46" spans="1:64" ht="14.6">
      <c r="C46" s="289"/>
      <c r="D46" s="150"/>
      <c r="E46" s="150"/>
      <c r="F46" s="150"/>
      <c r="G46" s="150"/>
      <c r="H46" s="150"/>
      <c r="I46" s="150"/>
      <c r="J46" s="150"/>
      <c r="K46" s="150"/>
      <c r="L46" s="150"/>
      <c r="M46" s="150"/>
      <c r="N46" s="150"/>
      <c r="O46" s="150"/>
      <c r="P46" s="150"/>
      <c r="Q46" s="150"/>
      <c r="R46" s="150"/>
      <c r="S46" s="150"/>
      <c r="T46" s="186"/>
      <c r="U46" s="186"/>
      <c r="V46" s="186"/>
      <c r="W46" s="186"/>
      <c r="X46" s="186"/>
      <c r="Y46" s="186"/>
      <c r="Z46" s="186"/>
      <c r="AA46" s="186"/>
      <c r="AB46" s="186"/>
      <c r="AC46" s="186"/>
      <c r="AD46" s="186"/>
      <c r="AF46" s="150"/>
      <c r="AG46" s="150"/>
      <c r="AH46" s="150"/>
      <c r="AI46" s="150"/>
      <c r="AJ46" s="150"/>
      <c r="AK46" s="150"/>
      <c r="AL46" s="150"/>
      <c r="AM46" s="150"/>
      <c r="AN46" s="150"/>
      <c r="AO46" s="150"/>
      <c r="AP46" s="150"/>
      <c r="AQ46" s="150"/>
      <c r="AT46" s="186"/>
      <c r="AU46" s="186"/>
      <c r="AV46" s="186"/>
      <c r="AW46" s="186"/>
      <c r="AX46" s="186"/>
      <c r="AY46" s="186"/>
      <c r="AZ46" s="186"/>
      <c r="BA46" s="186"/>
      <c r="BB46" s="186"/>
      <c r="BC46" s="186"/>
      <c r="BD46" s="186"/>
      <c r="BE46" s="186"/>
      <c r="BF46" s="150"/>
      <c r="BG46" s="150"/>
      <c r="BI46"/>
      <c r="BJ46"/>
      <c r="BK46"/>
      <c r="BL46"/>
    </row>
    <row r="47" spans="1:64" ht="14.6">
      <c r="C47" s="289"/>
      <c r="D47" s="150"/>
      <c r="E47" s="150"/>
      <c r="F47" s="150"/>
      <c r="G47" s="150"/>
      <c r="H47" s="150"/>
      <c r="I47" s="150"/>
      <c r="J47" s="150"/>
      <c r="K47" s="150"/>
      <c r="L47" s="150"/>
      <c r="M47" s="150"/>
      <c r="N47" s="150"/>
      <c r="O47" s="150"/>
      <c r="P47" s="150"/>
      <c r="Q47" s="150"/>
      <c r="R47" s="150"/>
      <c r="S47" s="150"/>
      <c r="T47" s="186"/>
      <c r="U47" s="186"/>
      <c r="V47" s="186"/>
      <c r="W47" s="186"/>
      <c r="X47" s="186"/>
      <c r="Y47" s="186"/>
      <c r="Z47" s="186"/>
      <c r="AA47" s="186"/>
      <c r="AB47" s="186"/>
      <c r="AC47" s="186"/>
      <c r="AD47" s="186"/>
      <c r="AF47" s="150"/>
      <c r="AG47" s="150"/>
      <c r="AH47" s="150"/>
      <c r="AI47" s="150"/>
      <c r="AJ47" s="150"/>
      <c r="AK47" s="150"/>
      <c r="AL47" s="150"/>
      <c r="AM47" s="150"/>
      <c r="AN47" s="150"/>
      <c r="AO47" s="150"/>
      <c r="AP47" s="150"/>
      <c r="AQ47" s="150"/>
      <c r="AT47" s="186"/>
      <c r="AU47" s="186"/>
      <c r="AV47" s="186"/>
      <c r="AW47" s="186"/>
      <c r="AX47" s="186"/>
      <c r="AY47" s="186"/>
      <c r="AZ47" s="186"/>
      <c r="BA47" s="186"/>
      <c r="BB47" s="186"/>
      <c r="BC47" s="186"/>
      <c r="BD47" s="186"/>
      <c r="BE47" s="186"/>
      <c r="BF47" s="150"/>
      <c r="BG47" s="150"/>
      <c r="BI47"/>
      <c r="BJ47"/>
      <c r="BK47"/>
      <c r="BL47"/>
    </row>
    <row r="48" spans="1:64" ht="14.6">
      <c r="C48" s="289"/>
      <c r="D48" s="150"/>
      <c r="E48" s="150"/>
      <c r="F48" s="150"/>
      <c r="G48" s="150"/>
      <c r="H48" s="150"/>
      <c r="I48" s="150"/>
      <c r="J48" s="150"/>
      <c r="K48" s="150"/>
      <c r="L48" s="150"/>
      <c r="M48" s="150"/>
      <c r="N48" s="150"/>
      <c r="O48" s="150"/>
      <c r="P48" s="150"/>
      <c r="Q48" s="150"/>
      <c r="R48" s="150"/>
      <c r="S48" s="150"/>
      <c r="T48" s="186"/>
      <c r="U48" s="186"/>
      <c r="V48" s="186"/>
      <c r="W48" s="186"/>
      <c r="X48" s="186"/>
      <c r="Y48" s="186"/>
      <c r="Z48" s="186"/>
      <c r="AA48" s="186"/>
      <c r="AB48" s="186"/>
      <c r="AC48" s="186"/>
      <c r="AD48" s="186"/>
      <c r="AF48" s="150"/>
      <c r="AG48" s="150"/>
      <c r="AH48" s="150"/>
      <c r="AI48" s="150"/>
      <c r="AJ48" s="150"/>
      <c r="AK48" s="150"/>
      <c r="AL48" s="150"/>
      <c r="AM48" s="150"/>
      <c r="AN48" s="150"/>
      <c r="AO48" s="150"/>
      <c r="AP48" s="150"/>
      <c r="AQ48" s="150"/>
      <c r="AT48" s="186"/>
      <c r="AU48" s="186"/>
      <c r="AV48" s="186"/>
      <c r="AW48" s="186"/>
      <c r="AX48" s="186"/>
      <c r="AY48" s="186"/>
      <c r="AZ48" s="186"/>
      <c r="BA48" s="186"/>
      <c r="BB48" s="186"/>
      <c r="BC48" s="186"/>
      <c r="BD48" s="186"/>
      <c r="BE48" s="186"/>
      <c r="BF48" s="150"/>
      <c r="BG48" s="150"/>
      <c r="BI48"/>
      <c r="BJ48"/>
      <c r="BK48"/>
      <c r="BL48"/>
    </row>
    <row r="49" spans="3:64" ht="14.6">
      <c r="C49" s="289"/>
      <c r="D49" s="150"/>
      <c r="E49" s="150"/>
      <c r="F49" s="150"/>
      <c r="G49" s="150"/>
      <c r="H49" s="150"/>
      <c r="I49" s="150"/>
      <c r="J49" s="150"/>
      <c r="K49" s="150"/>
      <c r="L49" s="150"/>
      <c r="M49" s="150"/>
      <c r="N49" s="150"/>
      <c r="O49" s="150"/>
      <c r="P49" s="150"/>
      <c r="Q49" s="150"/>
      <c r="R49" s="150"/>
      <c r="S49" s="150"/>
      <c r="T49" s="186"/>
      <c r="U49" s="186"/>
      <c r="V49" s="186"/>
      <c r="W49" s="186"/>
      <c r="X49" s="186"/>
      <c r="Y49" s="186"/>
      <c r="Z49" s="186"/>
      <c r="AA49" s="186"/>
      <c r="AB49" s="186"/>
      <c r="AC49" s="186"/>
      <c r="AD49" s="186"/>
      <c r="AF49" s="150"/>
      <c r="AG49" s="150"/>
      <c r="AH49" s="150"/>
      <c r="AI49" s="150"/>
      <c r="AJ49" s="150"/>
      <c r="AK49" s="150"/>
      <c r="AL49" s="150"/>
      <c r="AM49" s="150"/>
      <c r="AN49" s="150"/>
      <c r="AO49" s="150"/>
      <c r="AP49" s="150"/>
      <c r="AQ49" s="150"/>
      <c r="AT49" s="186"/>
      <c r="AU49" s="186"/>
      <c r="AV49" s="186"/>
      <c r="AW49" s="186"/>
      <c r="AX49" s="186"/>
      <c r="AY49" s="186"/>
      <c r="AZ49" s="186"/>
      <c r="BA49" s="186"/>
      <c r="BB49" s="186"/>
      <c r="BC49" s="186"/>
      <c r="BD49" s="186"/>
      <c r="BE49" s="186"/>
      <c r="BF49" s="150"/>
      <c r="BG49" s="150"/>
      <c r="BI49"/>
      <c r="BJ49"/>
      <c r="BK49"/>
      <c r="BL49"/>
    </row>
    <row r="50" spans="3:64" ht="14.6">
      <c r="C50" s="289"/>
      <c r="D50" s="150"/>
      <c r="E50" s="150"/>
      <c r="F50" s="150"/>
      <c r="G50" s="150"/>
      <c r="H50" s="150"/>
      <c r="I50" s="150"/>
      <c r="J50" s="150"/>
      <c r="K50" s="150"/>
      <c r="L50" s="150"/>
      <c r="M50" s="150"/>
      <c r="N50" s="150"/>
      <c r="O50" s="150"/>
      <c r="P50" s="150"/>
      <c r="Q50" s="150"/>
      <c r="R50" s="150"/>
      <c r="S50" s="150"/>
      <c r="T50" s="186"/>
      <c r="U50" s="186"/>
      <c r="V50" s="186"/>
      <c r="W50" s="186"/>
      <c r="X50" s="186"/>
      <c r="Y50" s="186"/>
      <c r="Z50" s="186"/>
      <c r="AA50" s="186"/>
      <c r="AB50" s="186"/>
      <c r="AC50" s="186"/>
      <c r="AD50" s="186"/>
      <c r="AF50" s="150"/>
      <c r="AG50" s="150"/>
      <c r="AH50" s="150"/>
      <c r="AI50" s="150"/>
      <c r="AJ50" s="150"/>
      <c r="AK50" s="150"/>
      <c r="AL50" s="150"/>
      <c r="AM50" s="150"/>
      <c r="AN50" s="150"/>
      <c r="AO50" s="150"/>
      <c r="AP50" s="150"/>
      <c r="AQ50" s="150"/>
      <c r="AT50" s="186"/>
      <c r="AU50" s="186"/>
      <c r="AV50" s="186"/>
      <c r="AW50" s="186"/>
      <c r="AX50" s="186"/>
      <c r="AY50" s="186"/>
      <c r="AZ50" s="186"/>
      <c r="BA50" s="186"/>
      <c r="BB50" s="186"/>
      <c r="BC50" s="186"/>
      <c r="BD50" s="186"/>
      <c r="BE50" s="186"/>
      <c r="BF50" s="150"/>
      <c r="BG50" s="150"/>
      <c r="BI50"/>
      <c r="BJ50"/>
      <c r="BK50"/>
      <c r="BL50"/>
    </row>
    <row r="51" spans="3:64" ht="14.6">
      <c r="C51" s="289"/>
      <c r="D51" s="150"/>
      <c r="E51" s="150"/>
      <c r="F51" s="150"/>
      <c r="G51" s="150"/>
      <c r="H51" s="150"/>
      <c r="I51" s="150"/>
      <c r="J51" s="150"/>
      <c r="K51" s="150"/>
      <c r="L51" s="150"/>
      <c r="M51" s="150"/>
      <c r="N51" s="150"/>
      <c r="O51" s="150"/>
      <c r="P51" s="150"/>
      <c r="Q51" s="150"/>
      <c r="R51" s="150"/>
      <c r="S51" s="150"/>
      <c r="T51" s="186"/>
      <c r="U51" s="186"/>
      <c r="V51" s="186"/>
      <c r="W51" s="186"/>
      <c r="X51" s="186"/>
      <c r="Y51" s="186"/>
      <c r="Z51" s="186"/>
      <c r="AA51" s="186"/>
      <c r="AB51" s="186"/>
      <c r="AC51" s="186"/>
      <c r="AD51" s="186"/>
      <c r="AF51" s="150"/>
      <c r="AG51" s="150"/>
      <c r="AH51" s="150"/>
      <c r="AI51" s="150"/>
      <c r="AJ51" s="150"/>
      <c r="AK51" s="150"/>
      <c r="AL51" s="150"/>
      <c r="AM51" s="150"/>
      <c r="AN51" s="150"/>
      <c r="AO51" s="150"/>
      <c r="AP51" s="150"/>
      <c r="AQ51" s="150"/>
      <c r="AT51" s="186"/>
      <c r="AU51" s="186"/>
      <c r="AV51" s="186"/>
      <c r="AW51" s="186"/>
      <c r="AX51" s="186"/>
      <c r="AY51" s="186"/>
      <c r="AZ51" s="186"/>
      <c r="BA51" s="186"/>
      <c r="BB51" s="186"/>
      <c r="BC51" s="186"/>
      <c r="BD51" s="186"/>
      <c r="BE51" s="186"/>
      <c r="BF51" s="150"/>
      <c r="BG51" s="150"/>
      <c r="BI51"/>
      <c r="BJ51"/>
      <c r="BK51"/>
      <c r="BL51"/>
    </row>
    <row r="52" spans="3:64" ht="14.6">
      <c r="C52" s="289"/>
      <c r="D52" s="150"/>
      <c r="E52" s="150"/>
      <c r="F52" s="150"/>
      <c r="G52" s="150"/>
      <c r="H52" s="150"/>
      <c r="I52" s="150"/>
      <c r="J52" s="150"/>
      <c r="K52" s="150"/>
      <c r="L52" s="150"/>
      <c r="M52" s="150"/>
      <c r="N52" s="150"/>
      <c r="O52" s="150"/>
      <c r="P52" s="150"/>
      <c r="Q52" s="150"/>
      <c r="R52" s="150"/>
      <c r="S52" s="150"/>
      <c r="T52" s="186"/>
      <c r="U52" s="186"/>
      <c r="V52" s="186"/>
      <c r="W52" s="186"/>
      <c r="X52" s="186"/>
      <c r="Y52" s="186"/>
      <c r="Z52" s="186"/>
      <c r="AA52" s="186"/>
      <c r="AB52" s="186"/>
      <c r="AC52" s="186"/>
      <c r="AD52" s="186"/>
      <c r="AF52" s="150"/>
      <c r="AG52" s="150"/>
      <c r="AH52" s="150"/>
      <c r="AI52" s="150"/>
      <c r="AJ52" s="150"/>
      <c r="AK52" s="150"/>
      <c r="AL52" s="150"/>
      <c r="AM52" s="150"/>
      <c r="AN52" s="150"/>
      <c r="AO52" s="150"/>
      <c r="AP52" s="150"/>
      <c r="AQ52" s="150"/>
      <c r="AT52" s="186"/>
      <c r="AU52" s="186"/>
      <c r="AV52" s="186"/>
      <c r="AW52" s="186"/>
      <c r="AX52" s="186"/>
      <c r="AY52" s="186"/>
      <c r="AZ52" s="186"/>
      <c r="BA52" s="186"/>
      <c r="BB52" s="186"/>
      <c r="BC52" s="186"/>
      <c r="BD52" s="186"/>
      <c r="BE52" s="186"/>
      <c r="BF52" s="150"/>
      <c r="BG52" s="150"/>
      <c r="BI52"/>
      <c r="BJ52"/>
      <c r="BK52"/>
      <c r="BL52"/>
    </row>
    <row r="53" spans="3:64" ht="14.6">
      <c r="C53" s="289"/>
      <c r="D53" s="150"/>
      <c r="E53" s="150"/>
      <c r="F53" s="150"/>
      <c r="G53" s="150"/>
      <c r="H53" s="150"/>
      <c r="I53" s="150"/>
      <c r="J53" s="150"/>
      <c r="K53" s="150"/>
      <c r="L53" s="150"/>
      <c r="M53" s="150"/>
      <c r="N53" s="150"/>
      <c r="O53" s="150"/>
      <c r="P53" s="150"/>
      <c r="Q53" s="150"/>
      <c r="R53" s="150"/>
      <c r="S53" s="150"/>
      <c r="T53" s="186"/>
      <c r="U53" s="186"/>
      <c r="V53" s="186"/>
      <c r="W53" s="186"/>
      <c r="X53" s="186"/>
      <c r="Y53" s="186"/>
      <c r="Z53" s="186"/>
      <c r="AA53" s="186"/>
      <c r="AB53" s="186"/>
      <c r="AC53" s="186"/>
      <c r="AD53" s="186"/>
      <c r="AF53" s="150"/>
      <c r="AG53" s="150"/>
      <c r="AH53" s="150"/>
      <c r="AI53" s="150"/>
      <c r="AJ53" s="150"/>
      <c r="AK53" s="150"/>
      <c r="AL53" s="150"/>
      <c r="AM53" s="150"/>
      <c r="AN53" s="150"/>
      <c r="AO53" s="150"/>
      <c r="AP53" s="150"/>
      <c r="AQ53" s="150"/>
      <c r="AT53" s="186"/>
      <c r="AU53" s="186"/>
      <c r="AV53" s="186"/>
      <c r="AW53" s="186"/>
      <c r="AX53" s="186"/>
      <c r="AY53" s="186"/>
      <c r="AZ53" s="186"/>
      <c r="BA53" s="186"/>
      <c r="BB53" s="186"/>
      <c r="BC53" s="186"/>
      <c r="BD53" s="186"/>
      <c r="BE53" s="186"/>
      <c r="BF53" s="150"/>
      <c r="BG53" s="150"/>
      <c r="BI53"/>
      <c r="BJ53"/>
      <c r="BK53"/>
      <c r="BL53"/>
    </row>
    <row r="54" spans="3:64" ht="14.6">
      <c r="C54" s="289"/>
      <c r="D54" s="150"/>
      <c r="E54" s="150"/>
      <c r="F54" s="150"/>
      <c r="G54" s="150"/>
      <c r="H54" s="150"/>
      <c r="I54" s="150"/>
      <c r="J54" s="150"/>
      <c r="K54" s="150"/>
      <c r="L54" s="150"/>
      <c r="M54" s="150"/>
      <c r="N54" s="150"/>
      <c r="O54" s="150"/>
      <c r="P54" s="150"/>
      <c r="Q54" s="150"/>
      <c r="R54" s="150"/>
      <c r="S54" s="150"/>
      <c r="T54" s="186"/>
      <c r="U54" s="186"/>
      <c r="V54" s="186"/>
      <c r="W54" s="186"/>
      <c r="X54" s="186"/>
      <c r="Y54" s="186"/>
      <c r="Z54" s="186"/>
      <c r="AA54" s="186"/>
      <c r="AB54" s="186"/>
      <c r="AC54" s="186"/>
      <c r="AD54" s="186"/>
      <c r="AF54" s="150"/>
      <c r="AG54" s="150"/>
      <c r="AH54" s="150"/>
      <c r="AI54" s="150"/>
      <c r="AJ54" s="150"/>
      <c r="AK54" s="150"/>
      <c r="AL54" s="150"/>
      <c r="AM54" s="150"/>
      <c r="AN54" s="150"/>
      <c r="AO54" s="150"/>
      <c r="AP54" s="150"/>
      <c r="AQ54" s="150"/>
      <c r="AT54" s="186"/>
      <c r="AU54" s="186"/>
      <c r="AV54" s="186"/>
      <c r="AW54" s="186"/>
      <c r="AX54" s="186"/>
      <c r="AY54" s="186"/>
      <c r="AZ54" s="186"/>
      <c r="BA54" s="186"/>
      <c r="BB54" s="186"/>
      <c r="BC54" s="186"/>
      <c r="BD54" s="186"/>
      <c r="BE54" s="186"/>
      <c r="BF54" s="150"/>
      <c r="BG54" s="150"/>
      <c r="BI54"/>
      <c r="BJ54"/>
      <c r="BK54"/>
      <c r="BL54"/>
    </row>
    <row r="55" spans="3:64" ht="14.6">
      <c r="C55" s="289"/>
      <c r="D55" s="150"/>
      <c r="E55" s="150"/>
      <c r="F55" s="150"/>
      <c r="G55" s="150"/>
      <c r="H55" s="150"/>
      <c r="I55" s="150"/>
      <c r="J55" s="150"/>
      <c r="K55" s="150"/>
      <c r="L55" s="150"/>
      <c r="M55" s="150"/>
      <c r="N55" s="150"/>
      <c r="O55" s="150"/>
      <c r="P55" s="150"/>
      <c r="Q55" s="150"/>
      <c r="R55" s="150"/>
      <c r="S55" s="150"/>
      <c r="T55" s="186"/>
      <c r="U55" s="186"/>
      <c r="V55" s="186"/>
      <c r="W55" s="186"/>
      <c r="X55" s="186"/>
      <c r="Y55" s="186"/>
      <c r="Z55" s="186"/>
      <c r="AA55" s="186"/>
      <c r="AB55" s="186"/>
      <c r="AC55" s="186"/>
      <c r="AD55" s="186"/>
      <c r="AF55" s="150"/>
      <c r="AG55" s="150"/>
      <c r="AH55" s="150"/>
      <c r="AI55" s="150"/>
      <c r="AJ55" s="150"/>
      <c r="AK55" s="150"/>
      <c r="AL55" s="150"/>
      <c r="AM55" s="150"/>
      <c r="AN55" s="150"/>
      <c r="AO55" s="150"/>
      <c r="AP55" s="150"/>
      <c r="AQ55" s="150"/>
      <c r="AT55" s="186"/>
      <c r="AU55" s="186"/>
      <c r="AV55" s="186"/>
      <c r="AW55" s="186"/>
      <c r="AX55" s="186"/>
      <c r="AY55" s="186"/>
      <c r="AZ55" s="186"/>
      <c r="BA55" s="186"/>
      <c r="BB55" s="186"/>
      <c r="BC55" s="186"/>
      <c r="BD55" s="186"/>
      <c r="BE55" s="186"/>
      <c r="BF55" s="150"/>
      <c r="BG55" s="150"/>
      <c r="BI55"/>
      <c r="BJ55"/>
      <c r="BK55"/>
      <c r="BL55"/>
    </row>
    <row r="56" spans="3:64" ht="14.6">
      <c r="C56" s="289"/>
      <c r="D56" s="150"/>
      <c r="E56" s="150"/>
      <c r="F56" s="150"/>
      <c r="G56" s="150"/>
      <c r="H56" s="150"/>
      <c r="I56" s="150"/>
      <c r="J56" s="150"/>
      <c r="K56" s="150"/>
      <c r="L56" s="150"/>
      <c r="M56" s="150"/>
      <c r="N56" s="150"/>
      <c r="O56" s="150"/>
      <c r="P56" s="150"/>
      <c r="Q56" s="150"/>
      <c r="R56" s="150"/>
      <c r="S56" s="150"/>
      <c r="T56" s="186"/>
      <c r="U56" s="186"/>
      <c r="V56" s="186"/>
      <c r="W56" s="186"/>
      <c r="X56" s="186"/>
      <c r="Y56" s="186"/>
      <c r="Z56" s="186"/>
      <c r="AA56" s="186"/>
      <c r="AB56" s="186"/>
      <c r="AC56" s="186"/>
      <c r="AD56" s="186"/>
      <c r="AF56" s="150"/>
      <c r="AG56" s="150"/>
      <c r="AH56" s="150"/>
      <c r="AI56" s="150"/>
      <c r="AJ56" s="150"/>
      <c r="AK56" s="150"/>
      <c r="AL56" s="150"/>
      <c r="AM56" s="150"/>
      <c r="AN56" s="150"/>
      <c r="AO56" s="150"/>
      <c r="AP56" s="150"/>
      <c r="AQ56" s="150"/>
      <c r="AT56" s="186"/>
      <c r="AU56" s="186"/>
      <c r="AV56" s="186"/>
      <c r="AW56" s="186"/>
      <c r="AX56" s="186"/>
      <c r="AY56" s="186"/>
      <c r="AZ56" s="186"/>
      <c r="BA56" s="186"/>
      <c r="BB56" s="186"/>
      <c r="BC56" s="186"/>
      <c r="BD56" s="186"/>
      <c r="BE56" s="186"/>
      <c r="BF56" s="150"/>
      <c r="BG56" s="150"/>
      <c r="BI56"/>
      <c r="BJ56"/>
      <c r="BK56"/>
      <c r="BL56"/>
    </row>
    <row r="57" spans="3:64" ht="14.6">
      <c r="C57" s="289"/>
      <c r="D57" s="150"/>
      <c r="E57" s="150"/>
      <c r="F57" s="150"/>
      <c r="G57" s="150"/>
      <c r="H57" s="150"/>
      <c r="I57" s="150"/>
      <c r="J57" s="150"/>
      <c r="K57" s="150"/>
      <c r="L57" s="150"/>
      <c r="M57" s="150"/>
      <c r="N57" s="150"/>
      <c r="O57" s="150"/>
      <c r="P57" s="150"/>
      <c r="Q57" s="150"/>
      <c r="R57" s="150"/>
      <c r="S57" s="150"/>
      <c r="T57" s="186"/>
      <c r="U57" s="186"/>
      <c r="V57" s="186"/>
      <c r="W57" s="186"/>
      <c r="X57" s="186"/>
      <c r="Y57" s="186"/>
      <c r="Z57" s="186"/>
      <c r="AA57" s="186"/>
      <c r="AB57" s="186"/>
      <c r="AC57" s="186"/>
      <c r="AD57" s="186"/>
      <c r="AF57" s="150"/>
      <c r="AG57" s="150"/>
      <c r="AH57" s="150"/>
      <c r="AI57" s="150"/>
      <c r="AJ57" s="150"/>
      <c r="AK57" s="150"/>
      <c r="AL57" s="150"/>
      <c r="AM57" s="150"/>
      <c r="AN57" s="150"/>
      <c r="AO57" s="150"/>
      <c r="AP57" s="150"/>
      <c r="AQ57" s="150"/>
      <c r="AT57" s="186"/>
      <c r="AU57" s="186"/>
      <c r="AV57" s="186"/>
      <c r="AW57" s="186"/>
      <c r="AX57" s="186"/>
      <c r="AY57" s="186"/>
      <c r="AZ57" s="186"/>
      <c r="BA57" s="186"/>
      <c r="BB57" s="186"/>
      <c r="BC57" s="186"/>
      <c r="BD57" s="186"/>
      <c r="BE57" s="186"/>
      <c r="BF57" s="150"/>
      <c r="BG57" s="150"/>
      <c r="BI57"/>
      <c r="BJ57"/>
      <c r="BK57"/>
      <c r="BL57"/>
    </row>
    <row r="58" spans="3:64" ht="14.6">
      <c r="C58" s="289"/>
      <c r="D58" s="150"/>
      <c r="E58" s="150"/>
      <c r="F58" s="150"/>
      <c r="G58" s="150"/>
      <c r="H58" s="150"/>
      <c r="I58" s="150"/>
      <c r="J58" s="150"/>
      <c r="K58" s="150"/>
      <c r="L58" s="150"/>
      <c r="M58" s="150"/>
      <c r="N58" s="150"/>
      <c r="O58" s="150"/>
      <c r="P58" s="150"/>
      <c r="Q58" s="150"/>
      <c r="R58" s="150"/>
      <c r="S58" s="150"/>
      <c r="T58" s="186"/>
      <c r="U58" s="186"/>
      <c r="V58" s="186"/>
      <c r="W58" s="186"/>
      <c r="X58" s="186"/>
      <c r="Y58" s="186"/>
      <c r="Z58" s="186"/>
      <c r="AA58" s="186"/>
      <c r="AB58" s="186"/>
      <c r="AC58" s="186"/>
      <c r="AD58" s="186"/>
      <c r="AF58" s="150"/>
      <c r="AG58" s="150"/>
      <c r="AH58" s="150"/>
      <c r="AI58" s="150"/>
      <c r="AJ58" s="150"/>
      <c r="AK58" s="150"/>
      <c r="AL58" s="150"/>
      <c r="AM58" s="150"/>
      <c r="AN58" s="150"/>
      <c r="AO58" s="150"/>
      <c r="AP58" s="150"/>
      <c r="AQ58" s="150"/>
      <c r="AT58" s="186"/>
      <c r="AU58" s="186"/>
      <c r="AV58" s="186"/>
      <c r="AW58" s="186"/>
      <c r="AX58" s="186"/>
      <c r="AY58" s="186"/>
      <c r="AZ58" s="186"/>
      <c r="BA58" s="186"/>
      <c r="BB58" s="186"/>
      <c r="BC58" s="186"/>
      <c r="BD58" s="186"/>
      <c r="BE58" s="186"/>
      <c r="BF58" s="150"/>
      <c r="BG58" s="150"/>
      <c r="BI58"/>
      <c r="BJ58"/>
      <c r="BK58"/>
      <c r="BL58"/>
    </row>
    <row r="59" spans="3:64" ht="14.6">
      <c r="C59" s="289"/>
      <c r="D59" s="150"/>
      <c r="E59" s="150"/>
      <c r="F59" s="150"/>
      <c r="G59" s="150"/>
      <c r="H59" s="150"/>
      <c r="I59" s="150"/>
      <c r="J59" s="150"/>
      <c r="K59" s="150"/>
      <c r="L59" s="150"/>
      <c r="M59" s="150"/>
      <c r="N59" s="150"/>
      <c r="O59" s="150"/>
      <c r="P59" s="150"/>
      <c r="Q59" s="150"/>
      <c r="R59" s="150"/>
      <c r="S59" s="150"/>
      <c r="T59" s="186"/>
      <c r="U59" s="186"/>
      <c r="V59" s="186"/>
      <c r="W59" s="186"/>
      <c r="X59" s="186"/>
      <c r="Y59" s="186"/>
      <c r="Z59" s="186"/>
      <c r="AA59" s="186"/>
      <c r="AB59" s="186"/>
      <c r="AC59" s="186"/>
      <c r="AD59" s="186"/>
      <c r="AF59" s="150"/>
      <c r="AG59" s="150"/>
      <c r="AH59" s="150"/>
      <c r="AI59" s="150"/>
      <c r="AJ59" s="150"/>
      <c r="AK59" s="150"/>
      <c r="AL59" s="150"/>
      <c r="AM59" s="150"/>
      <c r="AN59" s="150"/>
      <c r="AO59" s="150"/>
      <c r="AP59" s="150"/>
      <c r="AQ59" s="150"/>
      <c r="AT59" s="186"/>
      <c r="AU59" s="186"/>
      <c r="AV59" s="186"/>
      <c r="AW59" s="186"/>
      <c r="AX59" s="186"/>
      <c r="AY59" s="186"/>
      <c r="AZ59" s="186"/>
      <c r="BA59" s="186"/>
      <c r="BB59" s="186"/>
      <c r="BC59" s="186"/>
      <c r="BD59" s="186"/>
      <c r="BE59" s="186"/>
      <c r="BF59" s="150"/>
      <c r="BG59" s="150"/>
      <c r="BI59"/>
      <c r="BJ59"/>
      <c r="BK59"/>
      <c r="BL59"/>
    </row>
    <row r="60" spans="3:64" ht="14.6">
      <c r="C60" s="289"/>
      <c r="D60" s="150"/>
      <c r="E60" s="150"/>
      <c r="F60" s="150"/>
      <c r="G60" s="150"/>
      <c r="H60" s="150"/>
      <c r="I60" s="150"/>
      <c r="J60" s="150"/>
      <c r="K60" s="150"/>
      <c r="L60" s="150"/>
      <c r="M60" s="150"/>
      <c r="N60" s="150"/>
      <c r="O60" s="150"/>
      <c r="P60" s="150"/>
      <c r="Q60" s="150"/>
      <c r="R60" s="150"/>
      <c r="S60" s="150"/>
      <c r="T60" s="186"/>
      <c r="U60" s="186"/>
      <c r="V60" s="186"/>
      <c r="W60" s="186"/>
      <c r="X60" s="186"/>
      <c r="Y60" s="186"/>
      <c r="Z60" s="186"/>
      <c r="AA60" s="186"/>
      <c r="AB60" s="186"/>
      <c r="AC60" s="186"/>
      <c r="AD60" s="186"/>
      <c r="AF60" s="150"/>
      <c r="AG60" s="150"/>
      <c r="AH60" s="150"/>
      <c r="AI60" s="150"/>
      <c r="AJ60" s="150"/>
      <c r="AK60" s="150"/>
      <c r="AL60" s="150"/>
      <c r="AM60" s="150"/>
      <c r="AN60" s="150"/>
      <c r="AO60" s="150"/>
      <c r="AP60" s="150"/>
      <c r="AQ60" s="150"/>
      <c r="AT60" s="186"/>
      <c r="AU60" s="186"/>
      <c r="AV60" s="186"/>
      <c r="AW60" s="186"/>
      <c r="AX60" s="186"/>
      <c r="AY60" s="186"/>
      <c r="AZ60" s="186"/>
      <c r="BA60" s="186"/>
      <c r="BB60" s="186"/>
      <c r="BC60" s="186"/>
      <c r="BD60" s="186"/>
      <c r="BE60" s="186"/>
      <c r="BF60" s="150"/>
      <c r="BG60" s="150"/>
      <c r="BI60"/>
      <c r="BJ60"/>
      <c r="BK60"/>
      <c r="BL60"/>
    </row>
    <row r="61" spans="3:64" ht="14.6">
      <c r="C61" s="289"/>
      <c r="D61" s="150"/>
      <c r="E61" s="150"/>
      <c r="F61" s="150"/>
      <c r="G61" s="150"/>
      <c r="H61" s="150"/>
      <c r="I61" s="150"/>
      <c r="J61" s="150"/>
      <c r="K61" s="150"/>
      <c r="L61" s="150"/>
      <c r="M61" s="150"/>
      <c r="N61" s="150"/>
      <c r="O61" s="150"/>
      <c r="P61" s="150"/>
      <c r="Q61" s="150"/>
      <c r="R61" s="150"/>
      <c r="S61" s="150"/>
      <c r="T61" s="186"/>
      <c r="U61" s="186"/>
      <c r="V61" s="186"/>
      <c r="W61" s="186"/>
      <c r="X61" s="186"/>
      <c r="Y61" s="186"/>
      <c r="Z61" s="186"/>
      <c r="AA61" s="186"/>
      <c r="AB61" s="186"/>
      <c r="AC61" s="186"/>
      <c r="AD61" s="186"/>
      <c r="AF61" s="150"/>
      <c r="AG61" s="150"/>
      <c r="AH61" s="150"/>
      <c r="AI61" s="150"/>
      <c r="AJ61" s="150"/>
      <c r="AK61" s="150"/>
      <c r="AL61" s="150"/>
      <c r="AM61" s="150"/>
      <c r="AN61" s="150"/>
      <c r="AO61" s="150"/>
      <c r="AP61" s="150"/>
      <c r="AQ61" s="150"/>
      <c r="AT61" s="186"/>
      <c r="AU61" s="186"/>
      <c r="AV61" s="186"/>
      <c r="AW61" s="186"/>
      <c r="AX61" s="186"/>
      <c r="AY61" s="186"/>
      <c r="AZ61" s="186"/>
      <c r="BA61" s="186"/>
      <c r="BB61" s="186"/>
      <c r="BC61" s="186"/>
      <c r="BD61" s="186"/>
      <c r="BE61" s="186"/>
      <c r="BF61" s="150"/>
      <c r="BG61" s="150"/>
      <c r="BI61"/>
      <c r="BJ61"/>
      <c r="BK61"/>
      <c r="BL61"/>
    </row>
    <row r="62" spans="3:64" ht="14.6">
      <c r="C62" s="289"/>
      <c r="D62" s="150"/>
      <c r="E62" s="150"/>
      <c r="F62" s="150"/>
      <c r="G62" s="150"/>
      <c r="H62" s="150"/>
      <c r="I62" s="150"/>
      <c r="J62" s="150"/>
      <c r="K62" s="150"/>
      <c r="L62" s="150"/>
      <c r="M62" s="150"/>
      <c r="N62" s="150"/>
      <c r="O62" s="150"/>
      <c r="P62" s="150"/>
      <c r="Q62" s="150"/>
      <c r="R62" s="150"/>
      <c r="S62" s="150"/>
      <c r="T62" s="186"/>
      <c r="U62" s="186"/>
      <c r="V62" s="186"/>
      <c r="W62" s="186"/>
      <c r="X62" s="186"/>
      <c r="Y62" s="186"/>
      <c r="Z62" s="186"/>
      <c r="AA62" s="186"/>
      <c r="AB62" s="186"/>
      <c r="AC62" s="186"/>
      <c r="AD62" s="186"/>
      <c r="AF62" s="150"/>
      <c r="AG62" s="150"/>
      <c r="AH62" s="150"/>
      <c r="AI62" s="150"/>
      <c r="AJ62" s="150"/>
      <c r="AK62" s="150"/>
      <c r="AL62" s="150"/>
      <c r="AM62" s="150"/>
      <c r="AN62" s="150"/>
      <c r="AO62" s="150"/>
      <c r="AP62" s="150"/>
      <c r="AQ62" s="150"/>
      <c r="AT62" s="186"/>
      <c r="AU62" s="186"/>
      <c r="AV62" s="186"/>
      <c r="AW62" s="186"/>
      <c r="AX62" s="186"/>
      <c r="AY62" s="186"/>
      <c r="AZ62" s="186"/>
      <c r="BA62" s="186"/>
      <c r="BB62" s="186"/>
      <c r="BC62" s="186"/>
      <c r="BD62" s="186"/>
      <c r="BE62" s="186"/>
      <c r="BF62" s="150"/>
      <c r="BG62" s="150"/>
      <c r="BI62"/>
      <c r="BJ62"/>
      <c r="BK62"/>
      <c r="BL62"/>
    </row>
    <row r="63" spans="3:64" ht="14.6">
      <c r="C63" s="289"/>
      <c r="D63" s="150"/>
      <c r="E63" s="150"/>
      <c r="F63" s="150"/>
      <c r="G63" s="150"/>
      <c r="H63" s="150"/>
      <c r="I63" s="150"/>
      <c r="J63" s="150"/>
      <c r="K63" s="150"/>
      <c r="L63" s="150"/>
      <c r="M63" s="150"/>
      <c r="N63" s="150"/>
      <c r="O63" s="150"/>
      <c r="P63" s="150"/>
      <c r="Q63" s="150"/>
      <c r="R63" s="150"/>
      <c r="S63" s="150"/>
      <c r="T63" s="186"/>
      <c r="U63" s="186"/>
      <c r="V63" s="186"/>
      <c r="W63" s="186"/>
      <c r="X63" s="186"/>
      <c r="Y63" s="186"/>
      <c r="Z63" s="186"/>
      <c r="AA63" s="186"/>
      <c r="AB63" s="186"/>
      <c r="AC63" s="186"/>
      <c r="AD63" s="186"/>
      <c r="AF63" s="150"/>
      <c r="AG63" s="150"/>
      <c r="AH63" s="150"/>
      <c r="AI63" s="150"/>
      <c r="AJ63" s="150"/>
      <c r="AK63" s="150"/>
      <c r="AL63" s="150"/>
      <c r="AM63" s="150"/>
      <c r="AN63" s="150"/>
      <c r="AO63" s="150"/>
      <c r="AP63" s="150"/>
      <c r="AQ63" s="150"/>
      <c r="AT63" s="186"/>
      <c r="AU63" s="186"/>
      <c r="AV63" s="186"/>
      <c r="AW63" s="186"/>
      <c r="AX63" s="186"/>
      <c r="AY63" s="186"/>
      <c r="AZ63" s="186"/>
      <c r="BA63" s="186"/>
      <c r="BB63" s="186"/>
      <c r="BC63" s="186"/>
      <c r="BD63" s="186"/>
      <c r="BE63" s="186"/>
      <c r="BF63" s="150"/>
      <c r="BG63" s="150"/>
      <c r="BI63"/>
      <c r="BJ63"/>
      <c r="BK63"/>
      <c r="BL63"/>
    </row>
    <row r="64" spans="3:64" ht="14.6">
      <c r="C64" s="289"/>
      <c r="D64" s="150"/>
      <c r="E64" s="150"/>
      <c r="F64" s="150"/>
      <c r="G64" s="150"/>
      <c r="H64" s="150"/>
      <c r="I64" s="150"/>
      <c r="J64" s="150"/>
      <c r="K64" s="150"/>
      <c r="L64" s="150"/>
      <c r="M64" s="150"/>
      <c r="N64" s="150"/>
      <c r="O64" s="150"/>
      <c r="P64" s="150"/>
      <c r="Q64" s="150"/>
      <c r="R64" s="150"/>
      <c r="S64" s="150"/>
      <c r="T64" s="186"/>
      <c r="U64" s="186"/>
      <c r="V64" s="186"/>
      <c r="W64" s="186"/>
      <c r="X64" s="186"/>
      <c r="Y64" s="186"/>
      <c r="Z64" s="186"/>
      <c r="AA64" s="186"/>
      <c r="AB64" s="186"/>
      <c r="AC64" s="186"/>
      <c r="AD64" s="186"/>
      <c r="AF64" s="150"/>
      <c r="AG64" s="150"/>
      <c r="AH64" s="150"/>
      <c r="AI64" s="150"/>
      <c r="AJ64" s="150"/>
      <c r="AK64" s="150"/>
      <c r="AL64" s="150"/>
      <c r="AM64" s="150"/>
      <c r="AN64" s="150"/>
      <c r="AO64" s="150"/>
      <c r="AP64" s="150"/>
      <c r="AQ64" s="150"/>
      <c r="AT64" s="186"/>
      <c r="AU64" s="186"/>
      <c r="AV64" s="186"/>
      <c r="AW64" s="186"/>
      <c r="AX64" s="186"/>
      <c r="AY64" s="186"/>
      <c r="AZ64" s="186"/>
      <c r="BA64" s="186"/>
      <c r="BB64" s="186"/>
      <c r="BC64" s="186"/>
      <c r="BD64" s="186"/>
      <c r="BE64" s="186"/>
      <c r="BF64" s="150"/>
      <c r="BG64" s="150"/>
      <c r="BI64"/>
      <c r="BJ64"/>
      <c r="BK64"/>
      <c r="BL64"/>
    </row>
    <row r="65" spans="3:64" ht="14.6">
      <c r="C65" s="289"/>
      <c r="D65" s="150"/>
      <c r="E65" s="150"/>
      <c r="F65" s="150"/>
      <c r="G65" s="150"/>
      <c r="H65" s="150"/>
      <c r="I65" s="150"/>
      <c r="J65" s="150"/>
      <c r="K65" s="150"/>
      <c r="L65" s="150"/>
      <c r="M65" s="150"/>
      <c r="N65" s="150"/>
      <c r="O65" s="150"/>
      <c r="P65" s="150"/>
      <c r="Q65" s="150"/>
      <c r="R65" s="150"/>
      <c r="S65" s="150"/>
      <c r="T65" s="186"/>
      <c r="U65" s="186"/>
      <c r="V65" s="186"/>
      <c r="W65" s="186"/>
      <c r="X65" s="186"/>
      <c r="Y65" s="186"/>
      <c r="Z65" s="186"/>
      <c r="AA65" s="186"/>
      <c r="AB65" s="186"/>
      <c r="AC65" s="186"/>
      <c r="AD65" s="186"/>
      <c r="AF65" s="150"/>
      <c r="AG65" s="150"/>
      <c r="AH65" s="150"/>
      <c r="AI65" s="150"/>
      <c r="AJ65" s="150"/>
      <c r="AK65" s="150"/>
      <c r="AL65" s="150"/>
      <c r="AM65" s="150"/>
      <c r="AN65" s="150"/>
      <c r="AO65" s="150"/>
      <c r="AP65" s="150"/>
      <c r="AQ65" s="150"/>
      <c r="AT65" s="186"/>
      <c r="AU65" s="186"/>
      <c r="AV65" s="186"/>
      <c r="AW65" s="186"/>
      <c r="AX65" s="186"/>
      <c r="AY65" s="186"/>
      <c r="AZ65" s="186"/>
      <c r="BA65" s="186"/>
      <c r="BB65" s="186"/>
      <c r="BC65" s="186"/>
      <c r="BD65" s="186"/>
      <c r="BE65" s="186"/>
      <c r="BF65" s="150"/>
      <c r="BG65" s="150"/>
      <c r="BI65"/>
      <c r="BJ65"/>
      <c r="BK65"/>
      <c r="BL65"/>
    </row>
    <row r="66" spans="3:64" ht="14.6">
      <c r="C66" s="289"/>
      <c r="D66" s="150"/>
      <c r="E66" s="150"/>
      <c r="F66" s="150"/>
      <c r="G66" s="150"/>
      <c r="H66" s="150"/>
      <c r="I66" s="150"/>
      <c r="J66" s="150"/>
      <c r="K66" s="150"/>
      <c r="L66" s="150"/>
      <c r="M66" s="150"/>
      <c r="N66" s="150"/>
      <c r="O66" s="150"/>
      <c r="P66" s="150"/>
      <c r="Q66" s="150"/>
      <c r="R66" s="150"/>
      <c r="S66" s="150"/>
      <c r="T66" s="186"/>
      <c r="U66" s="186"/>
      <c r="V66" s="186"/>
      <c r="W66" s="186"/>
      <c r="X66" s="186"/>
      <c r="Y66" s="186"/>
      <c r="Z66" s="186"/>
      <c r="AA66" s="186"/>
      <c r="AB66" s="186"/>
      <c r="AC66" s="186"/>
      <c r="AD66" s="186"/>
      <c r="AF66" s="150"/>
      <c r="AG66" s="150"/>
      <c r="AH66" s="150"/>
      <c r="AI66" s="150"/>
      <c r="AJ66" s="150"/>
      <c r="AK66" s="150"/>
      <c r="AL66" s="150"/>
      <c r="AM66" s="150"/>
      <c r="AN66" s="150"/>
      <c r="AO66" s="150"/>
      <c r="AP66" s="150"/>
      <c r="AQ66" s="150"/>
      <c r="AT66" s="186"/>
      <c r="AU66" s="186"/>
      <c r="AV66" s="186"/>
      <c r="AW66" s="186"/>
      <c r="AX66" s="186"/>
      <c r="AY66" s="186"/>
      <c r="AZ66" s="186"/>
      <c r="BA66" s="186"/>
      <c r="BB66" s="186"/>
      <c r="BC66" s="186"/>
      <c r="BD66" s="186"/>
      <c r="BE66" s="186"/>
      <c r="BF66" s="150"/>
      <c r="BG66" s="150"/>
      <c r="BI66"/>
      <c r="BJ66"/>
      <c r="BK66"/>
      <c r="BL66"/>
    </row>
    <row r="67" spans="3:64" ht="14.6">
      <c r="C67" s="289"/>
      <c r="D67" s="150"/>
      <c r="E67" s="150"/>
      <c r="F67" s="150"/>
      <c r="G67" s="150"/>
      <c r="H67" s="150"/>
      <c r="I67" s="150"/>
      <c r="J67" s="150"/>
      <c r="K67" s="150"/>
      <c r="L67" s="150"/>
      <c r="M67" s="150"/>
      <c r="N67" s="150"/>
      <c r="O67" s="150"/>
      <c r="P67" s="150"/>
      <c r="Q67" s="150"/>
      <c r="R67" s="150"/>
      <c r="S67" s="150"/>
      <c r="T67" s="186"/>
      <c r="U67" s="186"/>
      <c r="V67" s="186"/>
      <c r="W67" s="186"/>
      <c r="X67" s="186"/>
      <c r="Y67" s="186"/>
      <c r="Z67" s="186"/>
      <c r="AA67" s="186"/>
      <c r="AB67" s="186"/>
      <c r="AC67" s="186"/>
      <c r="AD67" s="186"/>
      <c r="AF67" s="150"/>
      <c r="AG67" s="150"/>
      <c r="AH67" s="150"/>
      <c r="AI67" s="150"/>
      <c r="AJ67" s="150"/>
      <c r="AK67" s="150"/>
      <c r="AL67" s="150"/>
      <c r="AM67" s="150"/>
      <c r="AN67" s="150"/>
      <c r="AO67" s="150"/>
      <c r="AP67" s="150"/>
      <c r="AQ67" s="150"/>
      <c r="AT67" s="186"/>
      <c r="AU67" s="186"/>
      <c r="AV67" s="186"/>
      <c r="AW67" s="186"/>
      <c r="AX67" s="186"/>
      <c r="AY67" s="186"/>
      <c r="AZ67" s="186"/>
      <c r="BA67" s="186"/>
      <c r="BB67" s="186"/>
      <c r="BC67" s="186"/>
      <c r="BD67" s="186"/>
      <c r="BE67" s="186"/>
      <c r="BF67" s="150"/>
      <c r="BG67" s="150"/>
      <c r="BI67"/>
      <c r="BJ67"/>
      <c r="BK67"/>
      <c r="BL67"/>
    </row>
    <row r="68" spans="3:64" ht="14.6">
      <c r="C68" s="289"/>
      <c r="D68" s="150"/>
      <c r="E68" s="150"/>
      <c r="F68" s="150"/>
      <c r="G68" s="150"/>
      <c r="H68" s="150"/>
      <c r="I68" s="150"/>
      <c r="J68" s="150"/>
      <c r="K68" s="150"/>
      <c r="L68" s="150"/>
      <c r="M68" s="150"/>
      <c r="N68" s="150"/>
      <c r="O68" s="150"/>
      <c r="P68" s="150"/>
      <c r="Q68" s="150"/>
      <c r="R68" s="150"/>
      <c r="S68" s="150"/>
      <c r="T68" s="186"/>
      <c r="U68" s="186"/>
      <c r="V68" s="186"/>
      <c r="W68" s="186"/>
      <c r="X68" s="186"/>
      <c r="Y68" s="186"/>
      <c r="Z68" s="186"/>
      <c r="AA68" s="186"/>
      <c r="AB68" s="186"/>
      <c r="AC68" s="186"/>
      <c r="AD68" s="186"/>
      <c r="AF68" s="150"/>
      <c r="AG68" s="150"/>
      <c r="AH68" s="150"/>
      <c r="AI68" s="150"/>
      <c r="AJ68" s="150"/>
      <c r="AK68" s="150"/>
      <c r="AL68" s="150"/>
      <c r="AM68" s="150"/>
      <c r="AN68" s="150"/>
      <c r="AO68" s="150"/>
      <c r="AP68" s="150"/>
      <c r="AQ68" s="150"/>
      <c r="AT68" s="186"/>
      <c r="AU68" s="186"/>
      <c r="AV68" s="186"/>
      <c r="AW68" s="186"/>
      <c r="AX68" s="186"/>
      <c r="AY68" s="186"/>
      <c r="AZ68" s="186"/>
      <c r="BA68" s="186"/>
      <c r="BB68" s="186"/>
      <c r="BC68" s="186"/>
      <c r="BD68" s="186"/>
      <c r="BE68" s="186"/>
      <c r="BF68" s="150"/>
      <c r="BG68" s="150"/>
      <c r="BI68"/>
      <c r="BJ68"/>
      <c r="BK68"/>
      <c r="BL68"/>
    </row>
    <row r="69" spans="3:64" ht="14.6">
      <c r="C69" s="289"/>
      <c r="D69" s="150"/>
      <c r="E69" s="150"/>
      <c r="F69" s="150"/>
      <c r="G69" s="150"/>
      <c r="H69" s="150"/>
      <c r="I69" s="150"/>
      <c r="J69" s="150"/>
      <c r="K69" s="150"/>
      <c r="L69" s="150"/>
      <c r="M69" s="150"/>
      <c r="N69" s="150"/>
      <c r="O69" s="150"/>
      <c r="P69" s="150"/>
      <c r="Q69" s="150"/>
      <c r="R69" s="150"/>
      <c r="S69" s="150"/>
      <c r="T69" s="186"/>
      <c r="U69" s="186"/>
      <c r="V69" s="186"/>
      <c r="W69" s="186"/>
      <c r="X69" s="186"/>
      <c r="Y69" s="186"/>
      <c r="Z69" s="186"/>
      <c r="AA69" s="186"/>
      <c r="AB69" s="186"/>
      <c r="AC69" s="186"/>
      <c r="AD69" s="186"/>
      <c r="AF69" s="150"/>
      <c r="AG69" s="150"/>
      <c r="AH69" s="150"/>
      <c r="AI69" s="150"/>
      <c r="AJ69" s="150"/>
      <c r="AK69" s="150"/>
      <c r="AL69" s="150"/>
      <c r="AM69" s="150"/>
      <c r="AN69" s="150"/>
      <c r="AO69" s="150"/>
      <c r="AP69" s="150"/>
      <c r="AQ69" s="150"/>
      <c r="AT69" s="186"/>
      <c r="AU69" s="186"/>
      <c r="AV69" s="186"/>
      <c r="AW69" s="186"/>
      <c r="AX69" s="186"/>
      <c r="AY69" s="186"/>
      <c r="AZ69" s="186"/>
      <c r="BA69" s="186"/>
      <c r="BB69" s="186"/>
      <c r="BC69" s="186"/>
      <c r="BD69" s="186"/>
      <c r="BE69" s="186"/>
      <c r="BF69" s="150"/>
      <c r="BG69" s="150"/>
      <c r="BI69"/>
      <c r="BJ69"/>
      <c r="BK69"/>
      <c r="BL69"/>
    </row>
    <row r="70" spans="3:64" ht="14.6">
      <c r="C70" s="289"/>
      <c r="D70" s="150"/>
      <c r="E70" s="150"/>
      <c r="F70" s="150"/>
      <c r="G70" s="150"/>
      <c r="H70" s="150"/>
      <c r="I70" s="150"/>
      <c r="J70" s="150"/>
      <c r="K70" s="150"/>
      <c r="L70" s="150"/>
      <c r="M70" s="150"/>
      <c r="N70" s="150"/>
      <c r="O70" s="150"/>
      <c r="P70" s="150"/>
      <c r="Q70" s="150"/>
      <c r="R70" s="150"/>
      <c r="S70" s="150"/>
      <c r="T70" s="186"/>
      <c r="U70" s="186"/>
      <c r="V70" s="186"/>
      <c r="W70" s="186"/>
      <c r="X70" s="186"/>
      <c r="Y70" s="186"/>
      <c r="Z70" s="186"/>
      <c r="AA70" s="186"/>
      <c r="AB70" s="186"/>
      <c r="AC70" s="186"/>
      <c r="AD70" s="186"/>
      <c r="AF70" s="150"/>
      <c r="AG70" s="150"/>
      <c r="AH70" s="150"/>
      <c r="AI70" s="150"/>
      <c r="AJ70" s="150"/>
      <c r="AK70" s="150"/>
      <c r="AL70" s="150"/>
      <c r="AM70" s="150"/>
      <c r="AN70" s="150"/>
      <c r="AO70" s="150"/>
      <c r="AP70" s="150"/>
      <c r="AQ70" s="150"/>
      <c r="AT70" s="186"/>
      <c r="AU70" s="186"/>
      <c r="AV70" s="186"/>
      <c r="AW70" s="186"/>
      <c r="AX70" s="186"/>
      <c r="AY70" s="186"/>
      <c r="AZ70" s="186"/>
      <c r="BA70" s="186"/>
      <c r="BB70" s="186"/>
      <c r="BC70" s="186"/>
      <c r="BD70" s="186"/>
      <c r="BE70" s="186"/>
      <c r="BF70" s="150"/>
      <c r="BG70" s="150"/>
      <c r="BI70"/>
      <c r="BJ70"/>
      <c r="BK70"/>
      <c r="BL70"/>
    </row>
    <row r="71" spans="3:64" ht="14.6">
      <c r="C71" s="289"/>
      <c r="D71" s="150"/>
      <c r="E71" s="150"/>
      <c r="F71" s="150"/>
      <c r="G71" s="150"/>
      <c r="H71" s="150"/>
      <c r="I71" s="150"/>
      <c r="J71" s="150"/>
      <c r="K71" s="150"/>
      <c r="L71" s="150"/>
      <c r="M71" s="150"/>
      <c r="N71" s="150"/>
      <c r="O71" s="150"/>
      <c r="P71" s="150"/>
      <c r="Q71" s="150"/>
      <c r="R71" s="150"/>
      <c r="S71" s="150"/>
      <c r="T71" s="186"/>
      <c r="U71" s="186"/>
      <c r="V71" s="186"/>
      <c r="W71" s="186"/>
      <c r="X71" s="186"/>
      <c r="Y71" s="186"/>
      <c r="Z71" s="186"/>
      <c r="AA71" s="186"/>
      <c r="AB71" s="186"/>
      <c r="AC71" s="186"/>
      <c r="AD71" s="186"/>
      <c r="AF71" s="150"/>
      <c r="AG71" s="150"/>
      <c r="AH71" s="150"/>
      <c r="AI71" s="150"/>
      <c r="AJ71" s="150"/>
      <c r="AK71" s="150"/>
      <c r="AL71" s="150"/>
      <c r="AM71" s="150"/>
      <c r="AN71" s="150"/>
      <c r="AO71" s="150"/>
      <c r="AP71" s="150"/>
      <c r="AQ71" s="150"/>
      <c r="AT71" s="186"/>
      <c r="AU71" s="186"/>
      <c r="AV71" s="186"/>
      <c r="AW71" s="186"/>
      <c r="AX71" s="186"/>
      <c r="AY71" s="186"/>
      <c r="AZ71" s="186"/>
      <c r="BA71" s="186"/>
      <c r="BB71" s="186"/>
      <c r="BC71" s="186"/>
      <c r="BD71" s="186"/>
      <c r="BE71" s="186"/>
      <c r="BF71" s="150"/>
      <c r="BG71" s="150"/>
      <c r="BI71"/>
      <c r="BJ71"/>
      <c r="BK71"/>
      <c r="BL71"/>
    </row>
    <row r="72" spans="3:64" ht="14.6">
      <c r="C72" s="289"/>
      <c r="D72" s="150"/>
      <c r="E72" s="150"/>
      <c r="F72" s="150"/>
      <c r="G72" s="150"/>
      <c r="H72" s="150"/>
      <c r="I72" s="150"/>
      <c r="J72" s="150"/>
      <c r="K72" s="150"/>
      <c r="L72" s="150"/>
      <c r="M72" s="150"/>
      <c r="N72" s="150"/>
      <c r="O72" s="150"/>
      <c r="P72" s="150"/>
      <c r="Q72" s="150"/>
      <c r="R72" s="150"/>
      <c r="S72" s="150"/>
      <c r="T72" s="186"/>
      <c r="U72" s="186"/>
      <c r="V72" s="186"/>
      <c r="W72" s="186"/>
      <c r="X72" s="186"/>
      <c r="Y72" s="186"/>
      <c r="Z72" s="186"/>
      <c r="AA72" s="186"/>
      <c r="AB72" s="186"/>
      <c r="AC72" s="186"/>
      <c r="AD72" s="186"/>
      <c r="AF72" s="150"/>
      <c r="AG72" s="150"/>
      <c r="AH72" s="150"/>
      <c r="AI72" s="150"/>
      <c r="AJ72" s="150"/>
      <c r="AK72" s="150"/>
      <c r="AL72" s="150"/>
      <c r="AM72" s="150"/>
      <c r="AN72" s="150"/>
      <c r="AO72" s="150"/>
      <c r="AP72" s="150"/>
      <c r="AQ72" s="150"/>
      <c r="AT72" s="186"/>
      <c r="AU72" s="186"/>
      <c r="AV72" s="186"/>
      <c r="AW72" s="186"/>
      <c r="AX72" s="186"/>
      <c r="AY72" s="186"/>
      <c r="AZ72" s="186"/>
      <c r="BA72" s="186"/>
      <c r="BB72" s="186"/>
      <c r="BC72" s="186"/>
      <c r="BD72" s="186"/>
      <c r="BE72" s="186"/>
      <c r="BF72" s="150"/>
      <c r="BG72" s="150"/>
      <c r="BI72"/>
      <c r="BJ72"/>
      <c r="BK72"/>
      <c r="BL72"/>
    </row>
    <row r="73" spans="3:64" ht="14.6">
      <c r="C73" s="289"/>
      <c r="D73" s="150"/>
      <c r="E73" s="150"/>
      <c r="F73" s="150"/>
      <c r="G73" s="150"/>
      <c r="H73" s="150"/>
      <c r="I73" s="150"/>
      <c r="J73" s="150"/>
      <c r="K73" s="150"/>
      <c r="L73" s="150"/>
      <c r="M73" s="150"/>
      <c r="N73" s="150"/>
      <c r="O73" s="150"/>
      <c r="P73" s="150"/>
      <c r="Q73" s="150"/>
      <c r="R73" s="150"/>
      <c r="S73" s="150"/>
      <c r="T73" s="186"/>
      <c r="U73" s="186"/>
      <c r="V73" s="186"/>
      <c r="W73" s="186"/>
      <c r="X73" s="186"/>
      <c r="Y73" s="186"/>
      <c r="Z73" s="186"/>
      <c r="AA73" s="186"/>
      <c r="AB73" s="186"/>
      <c r="AC73" s="186"/>
      <c r="AD73" s="186"/>
      <c r="AF73" s="150"/>
      <c r="AG73" s="150"/>
      <c r="AH73" s="150"/>
      <c r="AI73" s="150"/>
      <c r="AJ73" s="150"/>
      <c r="AK73" s="150"/>
      <c r="AL73" s="150"/>
      <c r="AM73" s="150"/>
      <c r="AN73" s="150"/>
      <c r="AO73" s="150"/>
      <c r="AP73" s="150"/>
      <c r="AQ73" s="150"/>
      <c r="AT73" s="186"/>
      <c r="AU73" s="186"/>
      <c r="AV73" s="186"/>
      <c r="AW73" s="186"/>
      <c r="AX73" s="186"/>
      <c r="AY73" s="186"/>
      <c r="AZ73" s="186"/>
      <c r="BA73" s="186"/>
      <c r="BB73" s="186"/>
      <c r="BC73" s="186"/>
      <c r="BD73" s="186"/>
      <c r="BE73" s="186"/>
      <c r="BF73" s="150"/>
      <c r="BG73" s="150"/>
      <c r="BI73"/>
      <c r="BJ73"/>
      <c r="BK73"/>
      <c r="BL73"/>
    </row>
    <row r="74" spans="3:64" ht="14.6">
      <c r="C74" s="289"/>
      <c r="D74" s="150"/>
      <c r="E74" s="150"/>
      <c r="F74" s="150"/>
      <c r="G74" s="150"/>
      <c r="H74" s="150"/>
      <c r="I74" s="150"/>
      <c r="J74" s="150"/>
      <c r="K74" s="150"/>
      <c r="L74" s="150"/>
      <c r="M74" s="150"/>
      <c r="N74" s="150"/>
      <c r="O74" s="150"/>
      <c r="P74" s="150"/>
      <c r="Q74" s="150"/>
      <c r="R74" s="150"/>
      <c r="S74" s="150"/>
      <c r="T74" s="186"/>
      <c r="U74" s="186"/>
      <c r="V74" s="186"/>
      <c r="W74" s="186"/>
      <c r="X74" s="186"/>
      <c r="Y74" s="186"/>
      <c r="Z74" s="186"/>
      <c r="AA74" s="186"/>
      <c r="AB74" s="186"/>
      <c r="AC74" s="186"/>
      <c r="AD74" s="186"/>
      <c r="AF74" s="150"/>
      <c r="AG74" s="150"/>
      <c r="AH74" s="150"/>
      <c r="AI74" s="150"/>
      <c r="AJ74" s="150"/>
      <c r="AK74" s="150"/>
      <c r="AL74" s="150"/>
      <c r="AM74" s="150"/>
      <c r="AN74" s="150"/>
      <c r="AO74" s="150"/>
      <c r="AP74" s="150"/>
      <c r="AQ74" s="150"/>
      <c r="AT74" s="186"/>
      <c r="AU74" s="186"/>
      <c r="AV74" s="186"/>
      <c r="AW74" s="186"/>
      <c r="AX74" s="186"/>
      <c r="AY74" s="186"/>
      <c r="AZ74" s="186"/>
      <c r="BA74" s="186"/>
      <c r="BB74" s="186"/>
      <c r="BC74" s="186"/>
      <c r="BD74" s="186"/>
      <c r="BE74" s="186"/>
      <c r="BF74" s="150"/>
      <c r="BG74" s="150"/>
      <c r="BI74"/>
      <c r="BJ74"/>
      <c r="BK74"/>
      <c r="BL74"/>
    </row>
    <row r="75" spans="3:64" ht="14.6">
      <c r="C75" s="289"/>
      <c r="D75" s="150"/>
      <c r="E75" s="150"/>
      <c r="F75" s="150"/>
      <c r="G75" s="150"/>
      <c r="H75" s="150"/>
      <c r="I75" s="150"/>
      <c r="J75" s="150"/>
      <c r="K75" s="150"/>
      <c r="L75" s="150"/>
      <c r="M75" s="150"/>
      <c r="N75" s="150"/>
      <c r="O75" s="150"/>
      <c r="P75" s="150"/>
      <c r="Q75" s="150"/>
      <c r="R75" s="150"/>
      <c r="S75" s="150"/>
      <c r="T75" s="186"/>
      <c r="U75" s="186"/>
      <c r="V75" s="186"/>
      <c r="W75" s="186"/>
      <c r="X75" s="186"/>
      <c r="Y75" s="186"/>
      <c r="Z75" s="186"/>
      <c r="AA75" s="186"/>
      <c r="AB75" s="186"/>
      <c r="AC75" s="186"/>
      <c r="AD75" s="186"/>
      <c r="AF75" s="150"/>
      <c r="AG75" s="150"/>
      <c r="AH75" s="150"/>
      <c r="AI75" s="150"/>
      <c r="AJ75" s="150"/>
      <c r="AK75" s="150"/>
      <c r="AL75" s="150"/>
      <c r="AM75" s="150"/>
      <c r="AN75" s="150"/>
      <c r="AO75" s="150"/>
      <c r="AP75" s="150"/>
      <c r="AQ75" s="150"/>
      <c r="AT75" s="186"/>
      <c r="AU75" s="186"/>
      <c r="AV75" s="186"/>
      <c r="AW75" s="186"/>
      <c r="AX75" s="186"/>
      <c r="AY75" s="186"/>
      <c r="AZ75" s="186"/>
      <c r="BA75" s="186"/>
      <c r="BB75" s="186"/>
      <c r="BC75" s="186"/>
      <c r="BD75" s="186"/>
      <c r="BE75" s="186"/>
      <c r="BF75" s="150"/>
      <c r="BG75" s="150"/>
      <c r="BI75"/>
      <c r="BJ75"/>
      <c r="BK75"/>
      <c r="BL75"/>
    </row>
    <row r="76" spans="3:64" ht="14.6">
      <c r="C76" s="289"/>
      <c r="D76" s="150"/>
      <c r="E76" s="150"/>
      <c r="F76" s="150"/>
      <c r="G76" s="150"/>
      <c r="H76" s="150"/>
      <c r="I76" s="150"/>
      <c r="J76" s="150"/>
      <c r="K76" s="150"/>
      <c r="L76" s="150"/>
      <c r="M76" s="150"/>
      <c r="N76" s="150"/>
      <c r="O76" s="150"/>
      <c r="P76" s="150"/>
      <c r="Q76" s="150"/>
      <c r="R76" s="150"/>
      <c r="S76" s="150"/>
      <c r="T76" s="186"/>
      <c r="U76" s="186"/>
      <c r="V76" s="186"/>
      <c r="W76" s="186"/>
      <c r="X76" s="186"/>
      <c r="Y76" s="186"/>
      <c r="Z76" s="186"/>
      <c r="AA76" s="186"/>
      <c r="AB76" s="186"/>
      <c r="AC76" s="186"/>
      <c r="AD76" s="186"/>
      <c r="AF76" s="150"/>
      <c r="AG76" s="150"/>
      <c r="AH76" s="150"/>
      <c r="AI76" s="150"/>
      <c r="AJ76" s="150"/>
      <c r="AK76" s="150"/>
      <c r="AL76" s="150"/>
      <c r="AM76" s="150"/>
      <c r="AN76" s="150"/>
      <c r="AO76" s="150"/>
      <c r="AP76" s="150"/>
      <c r="AQ76" s="150"/>
      <c r="AT76" s="186"/>
      <c r="AU76" s="186"/>
      <c r="AV76" s="186"/>
      <c r="AW76" s="186"/>
      <c r="AX76" s="186"/>
      <c r="AY76" s="186"/>
      <c r="AZ76" s="186"/>
      <c r="BA76" s="186"/>
      <c r="BB76" s="186"/>
      <c r="BC76" s="186"/>
      <c r="BD76" s="186"/>
      <c r="BE76" s="186"/>
      <c r="BF76" s="150"/>
      <c r="BG76" s="150"/>
      <c r="BI76"/>
      <c r="BJ76"/>
      <c r="BK76"/>
      <c r="BL76"/>
    </row>
    <row r="77" spans="3:64" ht="14.6">
      <c r="C77" s="289"/>
      <c r="D77" s="150"/>
      <c r="E77" s="150"/>
      <c r="F77" s="150"/>
      <c r="G77" s="150"/>
      <c r="H77" s="150"/>
      <c r="I77" s="150"/>
      <c r="J77" s="150"/>
      <c r="K77" s="150"/>
      <c r="L77" s="150"/>
      <c r="M77" s="150"/>
      <c r="N77" s="150"/>
      <c r="O77" s="150"/>
      <c r="P77" s="150"/>
      <c r="Q77" s="150"/>
      <c r="R77" s="150"/>
      <c r="S77" s="150"/>
      <c r="T77" s="186"/>
      <c r="U77" s="186"/>
      <c r="V77" s="186"/>
      <c r="W77" s="186"/>
      <c r="X77" s="186"/>
      <c r="Y77" s="186"/>
      <c r="Z77" s="186"/>
      <c r="AA77" s="186"/>
      <c r="AB77" s="186"/>
      <c r="AC77" s="186"/>
      <c r="AD77" s="186"/>
      <c r="AF77" s="150"/>
      <c r="AG77" s="150"/>
      <c r="AH77" s="150"/>
      <c r="AI77" s="150"/>
      <c r="AJ77" s="150"/>
      <c r="AK77" s="150"/>
      <c r="AL77" s="150"/>
      <c r="AM77" s="150"/>
      <c r="AN77" s="150"/>
      <c r="AO77" s="150"/>
      <c r="AP77" s="150"/>
      <c r="AQ77" s="150"/>
      <c r="AT77" s="186"/>
      <c r="AU77" s="186"/>
      <c r="AV77" s="186"/>
      <c r="AW77" s="186"/>
      <c r="AX77" s="186"/>
      <c r="AY77" s="186"/>
      <c r="AZ77" s="186"/>
      <c r="BA77" s="186"/>
      <c r="BB77" s="186"/>
      <c r="BC77" s="186"/>
      <c r="BD77" s="186"/>
      <c r="BE77" s="186"/>
      <c r="BF77" s="150"/>
      <c r="BG77" s="150"/>
      <c r="BI77"/>
      <c r="BJ77"/>
      <c r="BK77"/>
      <c r="BL77"/>
    </row>
    <row r="78" spans="3:64" ht="14.6">
      <c r="C78" s="289"/>
      <c r="D78" s="150"/>
      <c r="E78" s="150"/>
      <c r="F78" s="150"/>
      <c r="G78" s="150"/>
      <c r="H78" s="150"/>
      <c r="I78" s="150"/>
      <c r="J78" s="150"/>
      <c r="K78" s="150"/>
      <c r="L78" s="150"/>
      <c r="M78" s="150"/>
      <c r="N78" s="150"/>
      <c r="O78" s="150"/>
      <c r="P78" s="150"/>
      <c r="Q78" s="150"/>
      <c r="R78" s="150"/>
      <c r="S78" s="150"/>
      <c r="T78" s="186"/>
      <c r="U78" s="186"/>
      <c r="V78" s="186"/>
      <c r="W78" s="186"/>
      <c r="X78" s="186"/>
      <c r="Y78" s="186"/>
      <c r="Z78" s="186"/>
      <c r="AA78" s="186"/>
      <c r="AB78" s="186"/>
      <c r="AC78" s="186"/>
      <c r="AD78" s="186"/>
      <c r="AF78" s="150"/>
      <c r="AG78" s="150"/>
      <c r="AH78" s="150"/>
      <c r="AI78" s="150"/>
      <c r="AJ78" s="150"/>
      <c r="AK78" s="150"/>
      <c r="AL78" s="150"/>
      <c r="AM78" s="150"/>
      <c r="AN78" s="150"/>
      <c r="AO78" s="150"/>
      <c r="AP78" s="150"/>
      <c r="AQ78" s="150"/>
      <c r="AT78" s="186"/>
      <c r="AU78" s="186"/>
      <c r="AV78" s="186"/>
      <c r="AW78" s="186"/>
      <c r="AX78" s="186"/>
      <c r="AY78" s="186"/>
      <c r="AZ78" s="186"/>
      <c r="BA78" s="186"/>
      <c r="BB78" s="186"/>
      <c r="BC78" s="186"/>
      <c r="BD78" s="186"/>
      <c r="BE78" s="186"/>
      <c r="BF78" s="150"/>
      <c r="BG78" s="150"/>
      <c r="BI78"/>
      <c r="BJ78"/>
      <c r="BK78"/>
      <c r="BL78"/>
    </row>
    <row r="79" spans="3:64" ht="14.6">
      <c r="C79" s="289"/>
      <c r="D79" s="150"/>
      <c r="E79" s="150"/>
      <c r="F79" s="150"/>
      <c r="G79" s="150"/>
      <c r="H79" s="150"/>
      <c r="I79" s="150"/>
      <c r="J79" s="150"/>
      <c r="K79" s="150"/>
      <c r="L79" s="150"/>
      <c r="M79" s="150"/>
      <c r="N79" s="150"/>
      <c r="O79" s="150"/>
      <c r="P79" s="150"/>
      <c r="Q79" s="150"/>
      <c r="R79" s="150"/>
      <c r="S79" s="150"/>
      <c r="T79" s="186"/>
      <c r="U79" s="186"/>
      <c r="V79" s="186"/>
      <c r="W79" s="186"/>
      <c r="X79" s="186"/>
      <c r="Y79" s="186"/>
      <c r="Z79" s="186"/>
      <c r="AA79" s="186"/>
      <c r="AB79" s="186"/>
      <c r="AC79" s="186"/>
      <c r="AD79" s="186"/>
      <c r="AF79" s="150"/>
      <c r="AG79" s="150"/>
      <c r="AH79" s="150"/>
      <c r="AI79" s="150"/>
      <c r="AJ79" s="150"/>
      <c r="AK79" s="150"/>
      <c r="AL79" s="150"/>
      <c r="AM79" s="150"/>
      <c r="AN79" s="150"/>
      <c r="AO79" s="150"/>
      <c r="AP79" s="150"/>
      <c r="AQ79" s="150"/>
      <c r="AT79" s="186"/>
      <c r="AU79" s="186"/>
      <c r="AV79" s="186"/>
      <c r="AW79" s="186"/>
      <c r="AX79" s="186"/>
      <c r="AY79" s="186"/>
      <c r="AZ79" s="186"/>
      <c r="BA79" s="186"/>
      <c r="BB79" s="186"/>
      <c r="BC79" s="186"/>
      <c r="BD79" s="186"/>
      <c r="BE79" s="186"/>
      <c r="BF79" s="150"/>
      <c r="BG79" s="150"/>
      <c r="BI79"/>
      <c r="BJ79"/>
      <c r="BK79"/>
      <c r="BL79"/>
    </row>
    <row r="80" spans="3:64" ht="14.6">
      <c r="C80" s="289"/>
      <c r="D80" s="150"/>
      <c r="E80" s="150"/>
      <c r="F80" s="150"/>
      <c r="G80" s="150"/>
      <c r="H80" s="150"/>
      <c r="I80" s="150"/>
      <c r="J80" s="150"/>
      <c r="K80" s="150"/>
      <c r="L80" s="150"/>
      <c r="M80" s="150"/>
      <c r="N80" s="150"/>
      <c r="O80" s="150"/>
      <c r="P80" s="150"/>
      <c r="Q80" s="150"/>
      <c r="R80" s="150"/>
      <c r="S80" s="150"/>
      <c r="T80" s="186"/>
      <c r="U80" s="186"/>
      <c r="V80" s="186"/>
      <c r="W80" s="186"/>
      <c r="X80" s="186"/>
      <c r="Y80" s="186"/>
      <c r="Z80" s="186"/>
      <c r="AA80" s="186"/>
      <c r="AB80" s="186"/>
      <c r="AC80" s="186"/>
      <c r="AD80" s="186"/>
      <c r="AF80" s="150"/>
      <c r="AG80" s="150"/>
      <c r="AH80" s="150"/>
      <c r="AI80" s="150"/>
      <c r="AJ80" s="150"/>
      <c r="AK80" s="150"/>
      <c r="AL80" s="150"/>
      <c r="AM80" s="150"/>
      <c r="AN80" s="150"/>
      <c r="AO80" s="150"/>
      <c r="AP80" s="150"/>
      <c r="AQ80" s="150"/>
      <c r="AT80" s="186"/>
      <c r="AU80" s="186"/>
      <c r="AV80" s="186"/>
      <c r="AW80" s="186"/>
      <c r="AX80" s="186"/>
      <c r="AY80" s="186"/>
      <c r="AZ80" s="186"/>
      <c r="BA80" s="186"/>
      <c r="BB80" s="186"/>
      <c r="BC80" s="186"/>
      <c r="BD80" s="186"/>
      <c r="BE80" s="186"/>
      <c r="BF80" s="150"/>
      <c r="BG80" s="150"/>
      <c r="BI80"/>
      <c r="BJ80"/>
      <c r="BK80"/>
      <c r="BL80"/>
    </row>
    <row r="81" spans="3:64" ht="14.6">
      <c r="C81" s="289"/>
      <c r="D81" s="150"/>
      <c r="E81" s="150"/>
      <c r="F81" s="150"/>
      <c r="G81" s="150"/>
      <c r="H81" s="150"/>
      <c r="I81" s="150"/>
      <c r="J81" s="150"/>
      <c r="K81" s="150"/>
      <c r="L81" s="150"/>
      <c r="M81" s="150"/>
      <c r="N81" s="150"/>
      <c r="O81" s="150"/>
      <c r="P81" s="150"/>
      <c r="Q81" s="150"/>
      <c r="R81" s="150"/>
      <c r="S81" s="150"/>
      <c r="T81" s="186"/>
      <c r="U81" s="186"/>
      <c r="V81" s="186"/>
      <c r="W81" s="186"/>
      <c r="X81" s="186"/>
      <c r="Y81" s="186"/>
      <c r="Z81" s="186"/>
      <c r="AA81" s="186"/>
      <c r="AB81" s="186"/>
      <c r="AC81" s="186"/>
      <c r="AD81" s="186"/>
      <c r="AF81" s="150"/>
      <c r="AG81" s="150"/>
      <c r="AH81" s="150"/>
      <c r="AI81" s="150"/>
      <c r="AJ81" s="150"/>
      <c r="AK81" s="150"/>
      <c r="AL81" s="150"/>
      <c r="AM81" s="150"/>
      <c r="AN81" s="150"/>
      <c r="AO81" s="150"/>
      <c r="AP81" s="150"/>
      <c r="AQ81" s="150"/>
      <c r="AT81" s="186"/>
      <c r="AU81" s="186"/>
      <c r="AV81" s="186"/>
      <c r="AW81" s="186"/>
      <c r="AX81" s="186"/>
      <c r="AY81" s="186"/>
      <c r="AZ81" s="186"/>
      <c r="BA81" s="186"/>
      <c r="BB81" s="186"/>
      <c r="BC81" s="186"/>
      <c r="BD81" s="186"/>
      <c r="BE81" s="186"/>
      <c r="BF81" s="150"/>
      <c r="BG81" s="150"/>
      <c r="BI81"/>
      <c r="BJ81"/>
      <c r="BK81"/>
      <c r="BL81"/>
    </row>
    <row r="82" spans="3:64" ht="14.6">
      <c r="C82" s="289"/>
      <c r="D82" s="150"/>
      <c r="E82" s="150"/>
      <c r="F82" s="150"/>
      <c r="G82" s="150"/>
      <c r="H82" s="150"/>
      <c r="I82" s="150"/>
      <c r="J82" s="150"/>
      <c r="K82" s="150"/>
      <c r="L82" s="150"/>
      <c r="M82" s="150"/>
      <c r="N82" s="150"/>
      <c r="O82" s="150"/>
      <c r="P82" s="150"/>
      <c r="Q82" s="150"/>
      <c r="R82" s="150"/>
      <c r="S82" s="150"/>
      <c r="T82" s="186"/>
      <c r="U82" s="186"/>
      <c r="V82" s="186"/>
      <c r="W82" s="186"/>
      <c r="X82" s="186"/>
      <c r="Y82" s="186"/>
      <c r="Z82" s="186"/>
      <c r="AA82" s="186"/>
      <c r="AB82" s="186"/>
      <c r="AC82" s="186"/>
      <c r="AD82" s="186"/>
      <c r="AF82" s="150"/>
      <c r="AG82" s="150"/>
      <c r="AH82" s="150"/>
      <c r="AI82" s="150"/>
      <c r="AJ82" s="150"/>
      <c r="AK82" s="150"/>
      <c r="AL82" s="150"/>
      <c r="AM82" s="150"/>
      <c r="AN82" s="150"/>
      <c r="AO82" s="150"/>
      <c r="AP82" s="150"/>
      <c r="AQ82" s="150"/>
      <c r="AT82" s="186"/>
      <c r="AU82" s="186"/>
      <c r="AV82" s="186"/>
      <c r="AW82" s="186"/>
      <c r="AX82" s="186"/>
      <c r="AY82" s="186"/>
      <c r="AZ82" s="186"/>
      <c r="BA82" s="186"/>
      <c r="BB82" s="186"/>
      <c r="BC82" s="186"/>
      <c r="BD82" s="186"/>
      <c r="BE82" s="186"/>
      <c r="BF82" s="150"/>
      <c r="BG82" s="150"/>
      <c r="BI82"/>
      <c r="BJ82"/>
      <c r="BK82"/>
      <c r="BL82"/>
    </row>
    <row r="83" spans="3:64" ht="14.6">
      <c r="C83" s="289"/>
      <c r="D83" s="150"/>
      <c r="E83" s="150"/>
      <c r="F83" s="150"/>
      <c r="G83" s="150"/>
      <c r="H83" s="150"/>
      <c r="I83" s="150"/>
      <c r="J83" s="150"/>
      <c r="K83" s="150"/>
      <c r="L83" s="150"/>
      <c r="M83" s="150"/>
      <c r="N83" s="150"/>
      <c r="O83" s="150"/>
      <c r="P83" s="150"/>
      <c r="Q83" s="150"/>
      <c r="R83" s="150"/>
      <c r="S83" s="150"/>
      <c r="T83" s="186"/>
      <c r="U83" s="186"/>
      <c r="V83" s="186"/>
      <c r="W83" s="186"/>
      <c r="X83" s="186"/>
      <c r="Y83" s="186"/>
      <c r="Z83" s="186"/>
      <c r="AA83" s="186"/>
      <c r="AB83" s="186"/>
      <c r="AC83" s="186"/>
      <c r="AD83" s="186"/>
      <c r="AF83" s="150"/>
      <c r="AG83" s="150"/>
      <c r="AH83" s="150"/>
      <c r="AI83" s="150"/>
      <c r="AJ83" s="150"/>
      <c r="AK83" s="150"/>
      <c r="AL83" s="150"/>
      <c r="AM83" s="150"/>
      <c r="AN83" s="150"/>
      <c r="AO83" s="150"/>
      <c r="AP83" s="150"/>
      <c r="AQ83" s="150"/>
      <c r="AT83" s="186"/>
      <c r="AU83" s="186"/>
      <c r="AV83" s="186"/>
      <c r="AW83" s="186"/>
      <c r="AX83" s="186"/>
      <c r="AY83" s="186"/>
      <c r="AZ83" s="186"/>
      <c r="BA83" s="186"/>
      <c r="BB83" s="186"/>
      <c r="BC83" s="186"/>
      <c r="BD83" s="186"/>
      <c r="BE83" s="186"/>
      <c r="BF83" s="150"/>
      <c r="BG83" s="150"/>
      <c r="BI83"/>
      <c r="BJ83"/>
      <c r="BK83"/>
      <c r="BL83"/>
    </row>
    <row r="84" spans="3:64" ht="14.6">
      <c r="C84" s="289"/>
      <c r="D84" s="150"/>
      <c r="E84" s="150"/>
      <c r="F84" s="150"/>
      <c r="G84" s="150"/>
      <c r="H84" s="150"/>
      <c r="I84" s="150"/>
      <c r="J84" s="150"/>
      <c r="K84" s="150"/>
      <c r="L84" s="150"/>
      <c r="M84" s="150"/>
      <c r="N84" s="150"/>
      <c r="O84" s="150"/>
      <c r="P84" s="150"/>
      <c r="Q84" s="150"/>
      <c r="R84" s="150"/>
      <c r="S84" s="150"/>
      <c r="T84" s="186"/>
      <c r="U84" s="186"/>
      <c r="V84" s="186"/>
      <c r="W84" s="186"/>
      <c r="X84" s="186"/>
      <c r="Y84" s="186"/>
      <c r="Z84" s="186"/>
      <c r="AA84" s="186"/>
      <c r="AB84" s="186"/>
      <c r="AC84" s="186"/>
      <c r="AD84" s="186"/>
      <c r="AF84" s="150"/>
      <c r="AG84" s="150"/>
      <c r="AH84" s="150"/>
      <c r="AI84" s="150"/>
      <c r="AJ84" s="150"/>
      <c r="AK84" s="150"/>
      <c r="AL84" s="150"/>
      <c r="AM84" s="150"/>
      <c r="AN84" s="150"/>
      <c r="AO84" s="150"/>
      <c r="AP84" s="150"/>
      <c r="AQ84" s="150"/>
      <c r="AT84" s="186"/>
      <c r="AU84" s="186"/>
      <c r="AV84" s="186"/>
      <c r="AW84" s="186"/>
      <c r="AX84" s="186"/>
      <c r="AY84" s="186"/>
      <c r="AZ84" s="186"/>
      <c r="BA84" s="186"/>
      <c r="BB84" s="186"/>
      <c r="BC84" s="186"/>
      <c r="BD84" s="186"/>
      <c r="BE84" s="186"/>
      <c r="BF84" s="150"/>
      <c r="BG84" s="150"/>
      <c r="BI84"/>
      <c r="BJ84"/>
      <c r="BK84"/>
      <c r="BL84"/>
    </row>
    <row r="85" spans="3:64" ht="14.6">
      <c r="C85" s="289"/>
      <c r="D85" s="150"/>
      <c r="E85" s="150"/>
      <c r="F85" s="150"/>
      <c r="G85" s="150"/>
      <c r="H85" s="150"/>
      <c r="I85" s="150"/>
      <c r="J85" s="150"/>
      <c r="K85" s="150"/>
      <c r="L85" s="150"/>
      <c r="M85" s="150"/>
      <c r="N85" s="150"/>
      <c r="O85" s="150"/>
      <c r="P85" s="150"/>
      <c r="Q85" s="150"/>
      <c r="R85" s="150"/>
      <c r="S85" s="150"/>
      <c r="T85" s="186"/>
      <c r="U85" s="186"/>
      <c r="V85" s="186"/>
      <c r="W85" s="186"/>
      <c r="X85" s="186"/>
      <c r="Y85" s="186"/>
      <c r="Z85" s="186"/>
      <c r="AA85" s="186"/>
      <c r="AB85" s="186"/>
      <c r="AC85" s="186"/>
      <c r="AD85" s="186"/>
      <c r="AF85" s="150"/>
      <c r="AG85" s="150"/>
      <c r="AH85" s="150"/>
      <c r="AI85" s="150"/>
      <c r="AJ85" s="150"/>
      <c r="AK85" s="150"/>
      <c r="AL85" s="150"/>
      <c r="AM85" s="150"/>
      <c r="AN85" s="150"/>
      <c r="AO85" s="150"/>
      <c r="AP85" s="150"/>
      <c r="AQ85" s="150"/>
      <c r="AT85" s="186"/>
      <c r="AU85" s="186"/>
      <c r="AV85" s="186"/>
      <c r="AW85" s="186"/>
      <c r="AX85" s="186"/>
      <c r="AY85" s="186"/>
      <c r="AZ85" s="186"/>
      <c r="BA85" s="186"/>
      <c r="BB85" s="186"/>
      <c r="BC85" s="186"/>
      <c r="BD85" s="186"/>
      <c r="BE85" s="186"/>
      <c r="BF85" s="150"/>
      <c r="BG85" s="150"/>
      <c r="BI85"/>
      <c r="BJ85"/>
      <c r="BK85"/>
      <c r="BL85"/>
    </row>
    <row r="86" spans="3:64" ht="14.6">
      <c r="C86" s="289"/>
      <c r="D86" s="150"/>
      <c r="E86" s="150"/>
      <c r="F86" s="150"/>
      <c r="G86" s="150"/>
      <c r="H86" s="150"/>
      <c r="I86" s="150"/>
      <c r="J86" s="150"/>
      <c r="K86" s="150"/>
      <c r="L86" s="150"/>
      <c r="M86" s="150"/>
      <c r="N86" s="150"/>
      <c r="O86" s="150"/>
      <c r="P86" s="150"/>
      <c r="Q86" s="150"/>
      <c r="R86" s="150"/>
      <c r="S86" s="150"/>
      <c r="T86" s="186"/>
      <c r="U86" s="186"/>
      <c r="V86" s="186"/>
      <c r="W86" s="186"/>
      <c r="X86" s="186"/>
      <c r="Y86" s="186"/>
      <c r="Z86" s="186"/>
      <c r="AA86" s="186"/>
      <c r="AB86" s="186"/>
      <c r="AC86" s="186"/>
      <c r="AD86" s="186"/>
      <c r="AF86" s="150"/>
      <c r="AG86" s="150"/>
      <c r="AH86" s="150"/>
      <c r="AI86" s="150"/>
      <c r="AJ86" s="150"/>
      <c r="AK86" s="150"/>
      <c r="AL86" s="150"/>
      <c r="AM86" s="150"/>
      <c r="AN86" s="150"/>
      <c r="AO86" s="150"/>
      <c r="AP86" s="150"/>
      <c r="AQ86" s="150"/>
      <c r="AT86" s="186"/>
      <c r="AU86" s="186"/>
      <c r="AV86" s="186"/>
      <c r="AW86" s="186"/>
      <c r="AX86" s="186"/>
      <c r="AY86" s="186"/>
      <c r="AZ86" s="186"/>
      <c r="BA86" s="186"/>
      <c r="BB86" s="186"/>
      <c r="BC86" s="186"/>
      <c r="BD86" s="186"/>
      <c r="BE86" s="186"/>
      <c r="BF86" s="150"/>
      <c r="BG86" s="150"/>
      <c r="BI86"/>
      <c r="BJ86"/>
      <c r="BK86"/>
      <c r="BL86"/>
    </row>
    <row r="87" spans="3:64" ht="14.6">
      <c r="C87" s="289"/>
      <c r="D87" s="150"/>
      <c r="E87" s="150"/>
      <c r="F87" s="150"/>
      <c r="G87" s="150"/>
      <c r="H87" s="150"/>
      <c r="I87" s="150"/>
      <c r="J87" s="150"/>
      <c r="K87" s="150"/>
      <c r="L87" s="150"/>
      <c r="M87" s="150"/>
      <c r="N87" s="150"/>
      <c r="O87" s="150"/>
      <c r="P87" s="150"/>
      <c r="Q87" s="150"/>
      <c r="R87" s="150"/>
      <c r="S87" s="150"/>
      <c r="T87" s="186"/>
      <c r="U87" s="186"/>
      <c r="V87" s="186"/>
      <c r="W87" s="186"/>
      <c r="X87" s="186"/>
      <c r="Y87" s="186"/>
      <c r="Z87" s="186"/>
      <c r="AA87" s="186"/>
      <c r="AB87" s="186"/>
      <c r="AC87" s="186"/>
      <c r="AD87" s="186"/>
      <c r="AF87" s="150"/>
      <c r="AG87" s="150"/>
      <c r="AH87" s="150"/>
      <c r="AI87" s="150"/>
      <c r="AJ87" s="150"/>
      <c r="AK87" s="150"/>
      <c r="AL87" s="150"/>
      <c r="AM87" s="150"/>
      <c r="AN87" s="150"/>
      <c r="AO87" s="150"/>
      <c r="AP87" s="150"/>
      <c r="AQ87" s="150"/>
      <c r="AT87" s="186"/>
      <c r="AU87" s="186"/>
      <c r="AV87" s="186"/>
      <c r="AW87" s="186"/>
      <c r="AX87" s="186"/>
      <c r="AY87" s="186"/>
      <c r="AZ87" s="186"/>
      <c r="BA87" s="186"/>
      <c r="BB87" s="186"/>
      <c r="BC87" s="186"/>
      <c r="BD87" s="186"/>
      <c r="BE87" s="186"/>
      <c r="BF87" s="150"/>
      <c r="BG87" s="150"/>
      <c r="BI87"/>
      <c r="BJ87"/>
      <c r="BK87"/>
      <c r="BL87"/>
    </row>
    <row r="88" spans="3:64" ht="14.6">
      <c r="C88" s="289"/>
      <c r="D88" s="150"/>
      <c r="E88" s="150"/>
      <c r="F88" s="150"/>
      <c r="G88" s="150"/>
      <c r="H88" s="150"/>
      <c r="I88" s="150"/>
      <c r="J88" s="150"/>
      <c r="K88" s="150"/>
      <c r="L88" s="150"/>
      <c r="M88" s="150"/>
      <c r="N88" s="150"/>
      <c r="O88" s="150"/>
      <c r="P88" s="150"/>
      <c r="Q88" s="150"/>
      <c r="R88" s="150"/>
      <c r="S88" s="150"/>
      <c r="T88" s="186"/>
      <c r="U88" s="186"/>
      <c r="V88" s="186"/>
      <c r="W88" s="186"/>
      <c r="X88" s="186"/>
      <c r="Y88" s="186"/>
      <c r="Z88" s="186"/>
      <c r="AA88" s="186"/>
      <c r="AB88" s="186"/>
      <c r="AC88" s="186"/>
      <c r="AD88" s="186"/>
      <c r="AF88" s="150"/>
      <c r="AG88" s="150"/>
      <c r="AH88" s="150"/>
      <c r="AI88" s="150"/>
      <c r="AJ88" s="150"/>
      <c r="AK88" s="150"/>
      <c r="AL88" s="150"/>
      <c r="AM88" s="150"/>
      <c r="AN88" s="150"/>
      <c r="AO88" s="150"/>
      <c r="AP88" s="150"/>
      <c r="AQ88" s="150"/>
      <c r="AT88" s="186"/>
      <c r="AU88" s="186"/>
      <c r="AV88" s="186"/>
      <c r="AW88" s="186"/>
      <c r="AX88" s="186"/>
      <c r="AY88" s="186"/>
      <c r="AZ88" s="186"/>
      <c r="BA88" s="186"/>
      <c r="BB88" s="186"/>
      <c r="BC88" s="186"/>
      <c r="BD88" s="186"/>
      <c r="BE88" s="186"/>
      <c r="BF88" s="150"/>
      <c r="BG88" s="150"/>
      <c r="BI88"/>
      <c r="BJ88"/>
      <c r="BK88"/>
      <c r="BL88"/>
    </row>
    <row r="89" spans="3:64" ht="14.6">
      <c r="C89" s="289"/>
      <c r="D89" s="150"/>
      <c r="E89" s="150"/>
      <c r="F89" s="150"/>
      <c r="G89" s="150"/>
      <c r="H89" s="150"/>
      <c r="I89" s="150"/>
      <c r="J89" s="150"/>
      <c r="K89" s="150"/>
      <c r="L89" s="150"/>
      <c r="M89" s="150"/>
      <c r="N89" s="150"/>
      <c r="O89" s="150"/>
      <c r="P89" s="150"/>
      <c r="Q89" s="150"/>
      <c r="R89" s="150"/>
      <c r="S89" s="150"/>
      <c r="T89" s="186"/>
      <c r="U89" s="186"/>
      <c r="V89" s="186"/>
      <c r="W89" s="186"/>
      <c r="X89" s="186"/>
      <c r="Y89" s="186"/>
      <c r="Z89" s="186"/>
      <c r="AA89" s="186"/>
      <c r="AB89" s="186"/>
      <c r="AC89" s="186"/>
      <c r="AD89" s="186"/>
      <c r="AF89" s="150"/>
      <c r="AG89" s="150"/>
      <c r="AH89" s="150"/>
      <c r="AI89" s="150"/>
      <c r="AJ89" s="150"/>
      <c r="AK89" s="150"/>
      <c r="AL89" s="150"/>
      <c r="AM89" s="150"/>
      <c r="AN89" s="150"/>
      <c r="AO89" s="150"/>
      <c r="AP89" s="150"/>
      <c r="AQ89" s="150"/>
      <c r="AT89" s="186"/>
      <c r="AU89" s="186"/>
      <c r="AV89" s="186"/>
      <c r="AW89" s="186"/>
      <c r="AX89" s="186"/>
      <c r="AY89" s="186"/>
      <c r="AZ89" s="186"/>
      <c r="BA89" s="186"/>
      <c r="BB89" s="186"/>
      <c r="BC89" s="186"/>
      <c r="BD89" s="186"/>
      <c r="BE89" s="186"/>
      <c r="BF89" s="150"/>
      <c r="BG89" s="150"/>
      <c r="BI89"/>
      <c r="BJ89"/>
      <c r="BK89"/>
      <c r="BL89"/>
    </row>
    <row r="90" spans="3:64" ht="14.6">
      <c r="C90" s="289"/>
      <c r="D90" s="150"/>
      <c r="E90" s="150"/>
      <c r="F90" s="150"/>
      <c r="G90" s="150"/>
      <c r="H90" s="150"/>
      <c r="I90" s="150"/>
      <c r="J90" s="150"/>
      <c r="K90" s="150"/>
      <c r="L90" s="150"/>
      <c r="M90" s="150"/>
      <c r="N90" s="150"/>
      <c r="O90" s="150"/>
      <c r="P90" s="150"/>
      <c r="Q90" s="150"/>
      <c r="R90" s="150"/>
      <c r="S90" s="150"/>
      <c r="T90" s="186"/>
      <c r="U90" s="186"/>
      <c r="V90" s="186"/>
      <c r="W90" s="186"/>
      <c r="X90" s="186"/>
      <c r="Y90" s="186"/>
      <c r="Z90" s="186"/>
      <c r="AA90" s="186"/>
      <c r="AB90" s="186"/>
      <c r="AC90" s="186"/>
      <c r="AD90" s="186"/>
      <c r="AF90" s="150"/>
      <c r="AG90" s="150"/>
      <c r="AH90" s="150"/>
      <c r="AI90" s="150"/>
      <c r="AJ90" s="150"/>
      <c r="AK90" s="150"/>
      <c r="AL90" s="150"/>
      <c r="AM90" s="150"/>
      <c r="AN90" s="150"/>
      <c r="AO90" s="150"/>
      <c r="AP90" s="150"/>
      <c r="AQ90" s="150"/>
      <c r="AT90" s="186"/>
      <c r="AU90" s="186"/>
      <c r="AV90" s="186"/>
      <c r="AW90" s="186"/>
      <c r="AX90" s="186"/>
      <c r="AY90" s="186"/>
      <c r="AZ90" s="186"/>
      <c r="BA90" s="186"/>
      <c r="BB90" s="186"/>
      <c r="BC90" s="186"/>
      <c r="BD90" s="186"/>
      <c r="BE90" s="186"/>
      <c r="BF90" s="150"/>
      <c r="BG90" s="150"/>
      <c r="BI90"/>
      <c r="BJ90"/>
      <c r="BK90"/>
      <c r="BL90"/>
    </row>
    <row r="91" spans="3:64" ht="14.6">
      <c r="C91" s="289"/>
      <c r="D91" s="150"/>
      <c r="E91" s="150"/>
      <c r="F91" s="150"/>
      <c r="G91" s="150"/>
      <c r="H91" s="150"/>
      <c r="I91" s="150"/>
      <c r="J91" s="150"/>
      <c r="K91" s="150"/>
      <c r="L91" s="150"/>
      <c r="M91" s="150"/>
      <c r="N91" s="150"/>
      <c r="O91" s="150"/>
      <c r="P91" s="150"/>
      <c r="Q91" s="150"/>
      <c r="R91" s="150"/>
      <c r="S91" s="150"/>
      <c r="T91" s="186"/>
      <c r="U91" s="186"/>
      <c r="V91" s="186"/>
      <c r="W91" s="186"/>
      <c r="X91" s="186"/>
      <c r="Y91" s="186"/>
      <c r="Z91" s="186"/>
      <c r="AA91" s="186"/>
      <c r="AB91" s="186"/>
      <c r="AC91" s="186"/>
      <c r="AD91" s="186"/>
      <c r="AF91" s="150"/>
      <c r="AG91" s="150"/>
      <c r="AH91" s="150"/>
      <c r="AI91" s="150"/>
      <c r="AJ91" s="150"/>
      <c r="AK91" s="150"/>
      <c r="AL91" s="150"/>
      <c r="AM91" s="150"/>
      <c r="AN91" s="150"/>
      <c r="AO91" s="150"/>
      <c r="AP91" s="150"/>
      <c r="AQ91" s="150"/>
      <c r="AT91" s="186"/>
      <c r="AU91" s="186"/>
      <c r="AV91" s="186"/>
      <c r="AW91" s="186"/>
      <c r="AX91" s="186"/>
      <c r="AY91" s="186"/>
      <c r="AZ91" s="186"/>
      <c r="BA91" s="186"/>
      <c r="BB91" s="186"/>
      <c r="BC91" s="186"/>
      <c r="BD91" s="186"/>
      <c r="BE91" s="186"/>
      <c r="BF91" s="150"/>
      <c r="BG91" s="150"/>
      <c r="BI91"/>
      <c r="BJ91"/>
      <c r="BK91"/>
      <c r="BL91"/>
    </row>
    <row r="92" spans="3:64" ht="14.6">
      <c r="C92" s="289"/>
      <c r="D92" s="150"/>
      <c r="E92" s="150"/>
      <c r="F92" s="150"/>
      <c r="G92" s="150"/>
      <c r="H92" s="150"/>
      <c r="I92" s="150"/>
      <c r="J92" s="150"/>
      <c r="K92" s="150"/>
      <c r="L92" s="150"/>
      <c r="M92" s="150"/>
      <c r="N92" s="150"/>
      <c r="O92" s="150"/>
      <c r="P92" s="150"/>
      <c r="Q92" s="150"/>
      <c r="R92" s="150"/>
      <c r="S92" s="150"/>
      <c r="T92" s="186"/>
      <c r="U92" s="186"/>
      <c r="V92" s="186"/>
      <c r="W92" s="186"/>
      <c r="X92" s="186"/>
      <c r="Y92" s="186"/>
      <c r="Z92" s="186"/>
      <c r="AA92" s="186"/>
      <c r="AB92" s="186"/>
      <c r="AC92" s="186"/>
      <c r="AD92" s="186"/>
      <c r="AF92" s="150"/>
      <c r="AG92" s="150"/>
      <c r="AH92" s="150"/>
      <c r="AI92" s="150"/>
      <c r="AJ92" s="150"/>
      <c r="AK92" s="150"/>
      <c r="AL92" s="150"/>
      <c r="AM92" s="150"/>
      <c r="AN92" s="150"/>
      <c r="AO92" s="150"/>
      <c r="AP92" s="150"/>
      <c r="AQ92" s="150"/>
      <c r="AT92" s="186"/>
      <c r="AU92" s="186"/>
      <c r="AV92" s="186"/>
      <c r="AW92" s="186"/>
      <c r="AX92" s="186"/>
      <c r="AY92" s="186"/>
      <c r="AZ92" s="186"/>
      <c r="BA92" s="186"/>
      <c r="BB92" s="186"/>
      <c r="BC92" s="186"/>
      <c r="BD92" s="186"/>
      <c r="BE92" s="186"/>
      <c r="BF92" s="150"/>
      <c r="BG92" s="150"/>
      <c r="BI92"/>
      <c r="BJ92"/>
      <c r="BK92"/>
      <c r="BL92"/>
    </row>
    <row r="93" spans="3:64" ht="14.6">
      <c r="C93" s="289"/>
      <c r="D93" s="150"/>
      <c r="E93" s="150"/>
      <c r="F93" s="150"/>
      <c r="G93" s="150"/>
      <c r="H93" s="150"/>
      <c r="I93" s="150"/>
      <c r="J93" s="150"/>
      <c r="K93" s="150"/>
      <c r="L93" s="150"/>
      <c r="M93" s="150"/>
      <c r="N93" s="150"/>
      <c r="O93" s="150"/>
      <c r="P93" s="150"/>
      <c r="Q93" s="150"/>
      <c r="R93" s="150"/>
      <c r="S93" s="150"/>
      <c r="T93" s="186"/>
      <c r="U93" s="186"/>
      <c r="V93" s="186"/>
      <c r="W93" s="186"/>
      <c r="X93" s="186"/>
      <c r="Y93" s="186"/>
      <c r="Z93" s="186"/>
      <c r="AA93" s="186"/>
      <c r="AB93" s="186"/>
      <c r="AC93" s="186"/>
      <c r="AD93" s="186"/>
      <c r="AF93" s="150"/>
      <c r="AG93" s="150"/>
      <c r="AH93" s="150"/>
      <c r="AI93" s="150"/>
      <c r="AJ93" s="150"/>
      <c r="AK93" s="150"/>
      <c r="AL93" s="150"/>
      <c r="AM93" s="150"/>
      <c r="AN93" s="150"/>
      <c r="AO93" s="150"/>
      <c r="AP93" s="150"/>
      <c r="AQ93" s="150"/>
      <c r="AT93" s="186"/>
      <c r="AU93" s="186"/>
      <c r="AV93" s="186"/>
      <c r="AW93" s="186"/>
      <c r="AX93" s="186"/>
      <c r="AY93" s="186"/>
      <c r="AZ93" s="186"/>
      <c r="BA93" s="186"/>
      <c r="BB93" s="186"/>
      <c r="BC93" s="186"/>
      <c r="BD93" s="186"/>
      <c r="BE93" s="186"/>
      <c r="BF93" s="150"/>
      <c r="BG93" s="150"/>
      <c r="BI93"/>
      <c r="BJ93"/>
      <c r="BK93"/>
      <c r="BL93"/>
    </row>
    <row r="94" spans="3:64" ht="14.6">
      <c r="C94" s="289"/>
      <c r="D94" s="150"/>
      <c r="E94" s="150"/>
      <c r="F94" s="150"/>
      <c r="G94" s="150"/>
      <c r="H94" s="150"/>
      <c r="I94" s="150"/>
      <c r="J94" s="150"/>
      <c r="K94" s="150"/>
      <c r="L94" s="150"/>
      <c r="M94" s="150"/>
      <c r="N94" s="150"/>
      <c r="O94" s="150"/>
      <c r="P94" s="150"/>
      <c r="Q94" s="150"/>
      <c r="R94" s="150"/>
      <c r="S94" s="150"/>
      <c r="T94" s="186"/>
      <c r="U94" s="186"/>
      <c r="V94" s="186"/>
      <c r="W94" s="186"/>
      <c r="X94" s="186"/>
      <c r="Y94" s="186"/>
      <c r="Z94" s="186"/>
      <c r="AA94" s="186"/>
      <c r="AB94" s="186"/>
      <c r="AC94" s="186"/>
      <c r="AD94" s="186"/>
      <c r="AF94" s="150"/>
      <c r="AG94" s="150"/>
      <c r="AH94" s="150"/>
      <c r="AI94" s="150"/>
      <c r="AJ94" s="150"/>
      <c r="AK94" s="150"/>
      <c r="AL94" s="150"/>
      <c r="AM94" s="150"/>
      <c r="AN94" s="150"/>
      <c r="AO94" s="150"/>
      <c r="AP94" s="150"/>
      <c r="AQ94" s="150"/>
      <c r="AT94" s="186"/>
      <c r="AU94" s="186"/>
      <c r="AV94" s="186"/>
      <c r="AW94" s="186"/>
      <c r="AX94" s="186"/>
      <c r="AY94" s="186"/>
      <c r="AZ94" s="186"/>
      <c r="BA94" s="186"/>
      <c r="BB94" s="186"/>
      <c r="BC94" s="186"/>
      <c r="BD94" s="186"/>
      <c r="BE94" s="186"/>
      <c r="BF94" s="150"/>
      <c r="BG94" s="150"/>
      <c r="BI94"/>
      <c r="BJ94"/>
      <c r="BK94"/>
      <c r="BL94"/>
    </row>
    <row r="95" spans="3:64" ht="14.6">
      <c r="C95" s="289"/>
      <c r="D95" s="150"/>
      <c r="E95" s="150"/>
      <c r="F95" s="150"/>
      <c r="G95" s="150"/>
      <c r="H95" s="150"/>
      <c r="I95" s="150"/>
      <c r="J95" s="150"/>
      <c r="K95" s="150"/>
      <c r="L95" s="150"/>
      <c r="M95" s="150"/>
      <c r="N95" s="150"/>
      <c r="O95" s="150"/>
      <c r="P95" s="150"/>
      <c r="Q95" s="150"/>
      <c r="R95" s="150"/>
      <c r="S95" s="150"/>
      <c r="T95" s="186"/>
      <c r="U95" s="186"/>
      <c r="V95" s="186"/>
      <c r="W95" s="186"/>
      <c r="X95" s="186"/>
      <c r="Y95" s="186"/>
      <c r="Z95" s="186"/>
      <c r="AA95" s="186"/>
      <c r="AB95" s="186"/>
      <c r="AC95" s="186"/>
      <c r="AD95" s="186"/>
      <c r="AF95" s="150"/>
      <c r="AG95" s="150"/>
      <c r="AH95" s="150"/>
      <c r="AI95" s="150"/>
      <c r="AJ95" s="150"/>
      <c r="AK95" s="150"/>
      <c r="AL95" s="150"/>
      <c r="AM95" s="150"/>
      <c r="AN95" s="150"/>
      <c r="AO95" s="150"/>
      <c r="AP95" s="150"/>
      <c r="AQ95" s="150"/>
      <c r="AT95" s="186"/>
      <c r="AU95" s="186"/>
      <c r="AV95" s="186"/>
      <c r="AW95" s="186"/>
      <c r="AX95" s="186"/>
      <c r="AY95" s="186"/>
      <c r="AZ95" s="186"/>
      <c r="BA95" s="186"/>
      <c r="BB95" s="186"/>
      <c r="BC95" s="186"/>
      <c r="BD95" s="186"/>
      <c r="BE95" s="186"/>
      <c r="BF95" s="150"/>
      <c r="BG95" s="150"/>
      <c r="BI95"/>
      <c r="BJ95"/>
      <c r="BK95"/>
      <c r="BL95"/>
    </row>
    <row r="96" spans="3:64" ht="14.6">
      <c r="C96" s="289"/>
      <c r="D96" s="150"/>
      <c r="E96" s="150"/>
      <c r="F96" s="150"/>
      <c r="G96" s="150"/>
      <c r="H96" s="150"/>
      <c r="I96" s="150"/>
      <c r="J96" s="150"/>
      <c r="K96" s="150"/>
      <c r="L96" s="150"/>
      <c r="M96" s="150"/>
      <c r="N96" s="150"/>
      <c r="O96" s="150"/>
      <c r="P96" s="150"/>
      <c r="Q96" s="150"/>
      <c r="R96" s="150"/>
      <c r="S96" s="150"/>
      <c r="T96" s="186"/>
      <c r="U96" s="186"/>
      <c r="V96" s="186"/>
      <c r="W96" s="186"/>
      <c r="X96" s="186"/>
      <c r="Y96" s="186"/>
      <c r="Z96" s="186"/>
      <c r="AA96" s="186"/>
      <c r="AB96" s="186"/>
      <c r="AC96" s="186"/>
      <c r="AD96" s="186"/>
      <c r="AF96" s="150"/>
      <c r="AG96" s="150"/>
      <c r="AH96" s="150"/>
      <c r="AI96" s="150"/>
      <c r="AJ96" s="150"/>
      <c r="AK96" s="150"/>
      <c r="AL96" s="150"/>
      <c r="AM96" s="150"/>
      <c r="AN96" s="150"/>
      <c r="AO96" s="150"/>
      <c r="AP96" s="150"/>
      <c r="AQ96" s="150"/>
      <c r="AT96" s="186"/>
      <c r="AU96" s="186"/>
      <c r="AV96" s="186"/>
      <c r="AW96" s="186"/>
      <c r="AX96" s="186"/>
      <c r="AY96" s="186"/>
      <c r="AZ96" s="186"/>
      <c r="BA96" s="186"/>
      <c r="BB96" s="186"/>
      <c r="BC96" s="186"/>
      <c r="BD96" s="186"/>
      <c r="BE96" s="186"/>
      <c r="BF96" s="150"/>
      <c r="BG96" s="150"/>
      <c r="BI96"/>
      <c r="BJ96"/>
      <c r="BK96"/>
      <c r="BL96"/>
    </row>
    <row r="97" spans="3:64" ht="14.6">
      <c r="C97" s="289"/>
      <c r="D97" s="150"/>
      <c r="E97" s="150"/>
      <c r="F97" s="150"/>
      <c r="G97" s="150"/>
      <c r="H97" s="150"/>
      <c r="I97" s="150"/>
      <c r="J97" s="150"/>
      <c r="K97" s="150"/>
      <c r="L97" s="150"/>
      <c r="M97" s="150"/>
      <c r="N97" s="150"/>
      <c r="O97" s="150"/>
      <c r="P97" s="150"/>
      <c r="Q97" s="150"/>
      <c r="R97" s="150"/>
      <c r="S97" s="150"/>
      <c r="T97" s="186"/>
      <c r="U97" s="186"/>
      <c r="V97" s="186"/>
      <c r="W97" s="186"/>
      <c r="X97" s="186"/>
      <c r="Y97" s="186"/>
      <c r="Z97" s="186"/>
      <c r="AA97" s="186"/>
      <c r="AB97" s="186"/>
      <c r="AC97" s="186"/>
      <c r="AD97" s="186"/>
      <c r="AF97" s="150"/>
      <c r="AG97" s="150"/>
      <c r="AH97" s="150"/>
      <c r="AI97" s="150"/>
      <c r="AJ97" s="150"/>
      <c r="AK97" s="150"/>
      <c r="AL97" s="150"/>
      <c r="AM97" s="150"/>
      <c r="AN97" s="150"/>
      <c r="AO97" s="150"/>
      <c r="AP97" s="150"/>
      <c r="AQ97" s="150"/>
      <c r="AT97" s="186"/>
      <c r="AU97" s="186"/>
      <c r="AV97" s="186"/>
      <c r="AW97" s="186"/>
      <c r="AX97" s="186"/>
      <c r="AY97" s="186"/>
      <c r="AZ97" s="186"/>
      <c r="BA97" s="186"/>
      <c r="BB97" s="186"/>
      <c r="BC97" s="186"/>
      <c r="BD97" s="186"/>
      <c r="BE97" s="186"/>
      <c r="BF97" s="150"/>
      <c r="BG97" s="150"/>
      <c r="BI97"/>
      <c r="BJ97"/>
      <c r="BK97"/>
      <c r="BL97"/>
    </row>
    <row r="98" spans="3:64" ht="14.6">
      <c r="C98" s="289"/>
      <c r="D98" s="150"/>
      <c r="E98" s="150"/>
      <c r="F98" s="150"/>
      <c r="G98" s="150"/>
      <c r="H98" s="150"/>
      <c r="I98" s="150"/>
      <c r="J98" s="150"/>
      <c r="K98" s="150"/>
      <c r="L98" s="150"/>
      <c r="M98" s="150"/>
      <c r="N98" s="150"/>
      <c r="O98" s="150"/>
      <c r="P98" s="150"/>
      <c r="Q98" s="150"/>
      <c r="R98" s="150"/>
      <c r="S98" s="150"/>
      <c r="T98" s="186"/>
      <c r="U98" s="186"/>
      <c r="V98" s="186"/>
      <c r="W98" s="186"/>
      <c r="X98" s="186"/>
      <c r="Y98" s="186"/>
      <c r="Z98" s="186"/>
      <c r="AA98" s="186"/>
      <c r="AB98" s="186"/>
      <c r="AC98" s="186"/>
      <c r="AD98" s="186"/>
      <c r="AF98" s="150"/>
      <c r="AG98" s="150"/>
      <c r="AH98" s="150"/>
      <c r="AI98" s="150"/>
      <c r="AJ98" s="150"/>
      <c r="AK98" s="150"/>
      <c r="AL98" s="150"/>
      <c r="AM98" s="150"/>
      <c r="AN98" s="150"/>
      <c r="AO98" s="150"/>
      <c r="AP98" s="150"/>
      <c r="AQ98" s="150"/>
      <c r="AT98" s="186"/>
      <c r="AU98" s="186"/>
      <c r="AV98" s="186"/>
      <c r="AW98" s="186"/>
      <c r="AX98" s="186"/>
      <c r="AY98" s="186"/>
      <c r="AZ98" s="186"/>
      <c r="BA98" s="186"/>
      <c r="BB98" s="186"/>
      <c r="BC98" s="186"/>
      <c r="BD98" s="186"/>
      <c r="BE98" s="186"/>
      <c r="BF98" s="150"/>
      <c r="BG98" s="150"/>
      <c r="BI98"/>
      <c r="BJ98"/>
      <c r="BK98"/>
      <c r="BL98"/>
    </row>
    <row r="99" spans="3:64" ht="14.6">
      <c r="C99" s="289"/>
      <c r="D99" s="150"/>
      <c r="E99" s="150"/>
      <c r="F99" s="150"/>
      <c r="G99" s="150"/>
      <c r="H99" s="150"/>
      <c r="I99" s="150"/>
      <c r="J99" s="150"/>
      <c r="K99" s="150"/>
      <c r="L99" s="150"/>
      <c r="M99" s="150"/>
      <c r="N99" s="150"/>
      <c r="O99" s="150"/>
      <c r="P99" s="150"/>
      <c r="Q99" s="150"/>
      <c r="R99" s="150"/>
      <c r="S99" s="150"/>
      <c r="T99" s="186"/>
      <c r="U99" s="186"/>
      <c r="V99" s="186"/>
      <c r="W99" s="186"/>
      <c r="X99" s="186"/>
      <c r="Y99" s="186"/>
      <c r="Z99" s="186"/>
      <c r="AA99" s="186"/>
      <c r="AB99" s="186"/>
      <c r="AC99" s="186"/>
      <c r="AD99" s="186"/>
      <c r="AF99" s="150"/>
      <c r="AG99" s="150"/>
      <c r="AH99" s="150"/>
      <c r="AI99" s="150"/>
      <c r="AJ99" s="150"/>
      <c r="AK99" s="150"/>
      <c r="AL99" s="150"/>
      <c r="AM99" s="150"/>
      <c r="AN99" s="150"/>
      <c r="AO99" s="150"/>
      <c r="AP99" s="150"/>
      <c r="AQ99" s="150"/>
      <c r="AT99" s="186"/>
      <c r="AU99" s="186"/>
      <c r="AV99" s="186"/>
      <c r="AW99" s="186"/>
      <c r="AX99" s="186"/>
      <c r="AY99" s="186"/>
      <c r="AZ99" s="186"/>
      <c r="BA99" s="186"/>
      <c r="BB99" s="186"/>
      <c r="BC99" s="186"/>
      <c r="BD99" s="186"/>
      <c r="BE99" s="186"/>
      <c r="BF99" s="150"/>
      <c r="BG99" s="150"/>
      <c r="BI99"/>
      <c r="BJ99"/>
      <c r="BK99"/>
      <c r="BL99"/>
    </row>
    <row r="100" spans="3:64" ht="14.6">
      <c r="C100" s="289"/>
      <c r="D100" s="150"/>
      <c r="E100" s="150"/>
      <c r="F100" s="150"/>
      <c r="G100" s="150"/>
      <c r="H100" s="150"/>
      <c r="I100" s="150"/>
      <c r="J100" s="150"/>
      <c r="K100" s="150"/>
      <c r="L100" s="150"/>
      <c r="M100" s="150"/>
      <c r="N100" s="150"/>
      <c r="O100" s="150"/>
      <c r="P100" s="150"/>
      <c r="Q100" s="150"/>
      <c r="R100" s="150"/>
      <c r="S100" s="150"/>
      <c r="T100" s="186"/>
      <c r="U100" s="186"/>
      <c r="V100" s="186"/>
      <c r="W100" s="186"/>
      <c r="X100" s="186"/>
      <c r="Y100" s="186"/>
      <c r="Z100" s="186"/>
      <c r="AA100" s="186"/>
      <c r="AB100" s="186"/>
      <c r="AC100" s="186"/>
      <c r="AD100" s="186"/>
      <c r="AF100" s="150"/>
      <c r="AG100" s="150"/>
      <c r="AH100" s="150"/>
      <c r="AI100" s="150"/>
      <c r="AJ100" s="150"/>
      <c r="AK100" s="150"/>
      <c r="AL100" s="150"/>
      <c r="AM100" s="150"/>
      <c r="AN100" s="150"/>
      <c r="AO100" s="150"/>
      <c r="AP100" s="150"/>
      <c r="AQ100" s="150"/>
      <c r="AT100" s="186"/>
      <c r="AU100" s="186"/>
      <c r="AV100" s="186"/>
      <c r="AW100" s="186"/>
      <c r="AX100" s="186"/>
      <c r="AY100" s="186"/>
      <c r="AZ100" s="186"/>
      <c r="BA100" s="186"/>
      <c r="BB100" s="186"/>
      <c r="BC100" s="186"/>
      <c r="BD100" s="186"/>
      <c r="BE100" s="186"/>
      <c r="BF100" s="150"/>
      <c r="BG100" s="150"/>
      <c r="BI100"/>
      <c r="BJ100"/>
      <c r="BK100"/>
      <c r="BL100"/>
    </row>
    <row r="101" spans="3:64" ht="14.6">
      <c r="C101" s="289"/>
      <c r="D101" s="150"/>
      <c r="E101" s="150"/>
      <c r="F101" s="150"/>
      <c r="G101" s="150"/>
      <c r="H101" s="150"/>
      <c r="I101" s="150"/>
      <c r="J101" s="150"/>
      <c r="K101" s="150"/>
      <c r="L101" s="150"/>
      <c r="M101" s="150"/>
      <c r="N101" s="150"/>
      <c r="O101" s="150"/>
      <c r="P101" s="150"/>
      <c r="Q101" s="150"/>
      <c r="R101" s="150"/>
      <c r="S101" s="150"/>
      <c r="T101" s="186"/>
      <c r="U101" s="186"/>
      <c r="V101" s="186"/>
      <c r="W101" s="186"/>
      <c r="X101" s="186"/>
      <c r="Y101" s="186"/>
      <c r="Z101" s="186"/>
      <c r="AA101" s="186"/>
      <c r="AB101" s="186"/>
      <c r="AC101" s="186"/>
      <c r="AD101" s="186"/>
      <c r="AF101" s="150"/>
      <c r="AG101" s="150"/>
      <c r="AH101" s="150"/>
      <c r="AI101" s="150"/>
      <c r="AJ101" s="150"/>
      <c r="AK101" s="150"/>
      <c r="AL101" s="150"/>
      <c r="AM101" s="150"/>
      <c r="AN101" s="150"/>
      <c r="AO101" s="150"/>
      <c r="AP101" s="150"/>
      <c r="AQ101" s="150"/>
      <c r="AT101" s="186"/>
      <c r="AU101" s="186"/>
      <c r="AV101" s="186"/>
      <c r="AW101" s="186"/>
      <c r="AX101" s="186"/>
      <c r="AY101" s="186"/>
      <c r="AZ101" s="186"/>
      <c r="BA101" s="186"/>
      <c r="BB101" s="186"/>
      <c r="BC101" s="186"/>
      <c r="BD101" s="186"/>
      <c r="BE101" s="186"/>
      <c r="BF101" s="150"/>
      <c r="BG101" s="150"/>
      <c r="BI101"/>
      <c r="BJ101"/>
      <c r="BK101"/>
      <c r="BL101"/>
    </row>
    <row r="102" spans="3:64" ht="14.6">
      <c r="C102" s="289"/>
      <c r="D102" s="150"/>
      <c r="E102" s="150"/>
      <c r="F102" s="150"/>
      <c r="G102" s="150"/>
      <c r="H102" s="150"/>
      <c r="I102" s="150"/>
      <c r="J102" s="150"/>
      <c r="K102" s="150"/>
      <c r="L102" s="150"/>
      <c r="M102" s="150"/>
      <c r="N102" s="150"/>
      <c r="O102" s="150"/>
      <c r="P102" s="150"/>
      <c r="Q102" s="150"/>
      <c r="R102" s="150"/>
      <c r="S102" s="150"/>
      <c r="T102" s="186"/>
      <c r="U102" s="186"/>
      <c r="V102" s="186"/>
      <c r="W102" s="186"/>
      <c r="X102" s="186"/>
      <c r="Y102" s="186"/>
      <c r="Z102" s="186"/>
      <c r="AA102" s="186"/>
      <c r="AB102" s="186"/>
      <c r="AC102" s="186"/>
      <c r="AD102" s="186"/>
      <c r="AF102" s="150"/>
      <c r="AG102" s="150"/>
      <c r="AH102" s="150"/>
      <c r="AI102" s="150"/>
      <c r="AJ102" s="150"/>
      <c r="AK102" s="150"/>
      <c r="AL102" s="150"/>
      <c r="AM102" s="150"/>
      <c r="AN102" s="150"/>
      <c r="AO102" s="150"/>
      <c r="AP102" s="150"/>
      <c r="AQ102" s="150"/>
      <c r="AT102" s="186"/>
      <c r="AU102" s="186"/>
      <c r="AV102" s="186"/>
      <c r="AW102" s="186"/>
      <c r="AX102" s="186"/>
      <c r="AY102" s="186"/>
      <c r="AZ102" s="186"/>
      <c r="BA102" s="186"/>
      <c r="BB102" s="186"/>
      <c r="BC102" s="186"/>
      <c r="BD102" s="186"/>
      <c r="BE102" s="186"/>
      <c r="BF102" s="150"/>
      <c r="BG102" s="150"/>
      <c r="BI102"/>
      <c r="BJ102"/>
      <c r="BK102"/>
      <c r="BL102"/>
    </row>
    <row r="103" spans="3:64" ht="14.6">
      <c r="C103" s="289"/>
      <c r="D103" s="150"/>
      <c r="E103" s="150"/>
      <c r="F103" s="150"/>
      <c r="G103" s="150"/>
      <c r="H103" s="150"/>
      <c r="I103" s="150"/>
      <c r="J103" s="150"/>
      <c r="K103" s="150"/>
      <c r="L103" s="150"/>
      <c r="M103" s="150"/>
      <c r="N103" s="150"/>
      <c r="O103" s="150"/>
      <c r="P103" s="150"/>
      <c r="Q103" s="150"/>
      <c r="R103" s="150"/>
      <c r="S103" s="150"/>
      <c r="T103" s="186"/>
      <c r="U103" s="186"/>
      <c r="V103" s="186"/>
      <c r="W103" s="186"/>
      <c r="X103" s="186"/>
      <c r="Y103" s="186"/>
      <c r="Z103" s="186"/>
      <c r="AA103" s="186"/>
      <c r="AB103" s="186"/>
      <c r="AC103" s="186"/>
      <c r="AD103" s="186"/>
      <c r="AF103" s="150"/>
      <c r="AG103" s="150"/>
      <c r="AH103" s="150"/>
      <c r="AI103" s="150"/>
      <c r="AJ103" s="150"/>
      <c r="AK103" s="150"/>
      <c r="AL103" s="150"/>
      <c r="AM103" s="150"/>
      <c r="AN103" s="150"/>
      <c r="AO103" s="150"/>
      <c r="AP103" s="150"/>
      <c r="AQ103" s="150"/>
      <c r="AT103" s="186"/>
      <c r="AU103" s="186"/>
      <c r="AV103" s="186"/>
      <c r="AW103" s="186"/>
      <c r="AX103" s="186"/>
      <c r="AY103" s="186"/>
      <c r="AZ103" s="186"/>
      <c r="BA103" s="186"/>
      <c r="BB103" s="186"/>
      <c r="BC103" s="186"/>
      <c r="BD103" s="186"/>
      <c r="BE103" s="186"/>
      <c r="BF103" s="150"/>
      <c r="BG103" s="150"/>
      <c r="BI103"/>
      <c r="BJ103"/>
      <c r="BK103"/>
      <c r="BL103"/>
    </row>
    <row r="104" spans="3:64" ht="14.6">
      <c r="C104" s="289"/>
      <c r="D104" s="150"/>
      <c r="E104" s="150"/>
      <c r="F104" s="150"/>
      <c r="G104" s="150"/>
      <c r="H104" s="150"/>
      <c r="I104" s="150"/>
      <c r="J104" s="150"/>
      <c r="K104" s="150"/>
      <c r="L104" s="150"/>
      <c r="M104" s="150"/>
      <c r="N104" s="150"/>
      <c r="O104" s="150"/>
      <c r="P104" s="150"/>
      <c r="Q104" s="150"/>
      <c r="R104" s="150"/>
      <c r="S104" s="150"/>
      <c r="T104" s="186"/>
      <c r="U104" s="186"/>
      <c r="V104" s="186"/>
      <c r="W104" s="186"/>
      <c r="X104" s="186"/>
      <c r="Y104" s="186"/>
      <c r="Z104" s="186"/>
      <c r="AA104" s="186"/>
      <c r="AB104" s="186"/>
      <c r="AC104" s="186"/>
      <c r="AD104" s="186"/>
      <c r="AF104" s="150"/>
      <c r="AG104" s="150"/>
      <c r="AH104" s="150"/>
      <c r="AI104" s="150"/>
      <c r="AJ104" s="150"/>
      <c r="AK104" s="150"/>
      <c r="AL104" s="150"/>
      <c r="AM104" s="150"/>
      <c r="AN104" s="150"/>
      <c r="AO104" s="150"/>
      <c r="AP104" s="150"/>
      <c r="AQ104" s="150"/>
      <c r="AT104" s="186"/>
      <c r="AU104" s="186"/>
      <c r="AV104" s="186"/>
      <c r="AW104" s="186"/>
      <c r="AX104" s="186"/>
      <c r="AY104" s="186"/>
      <c r="AZ104" s="186"/>
      <c r="BA104" s="186"/>
      <c r="BB104" s="186"/>
      <c r="BC104" s="186"/>
      <c r="BD104" s="186"/>
      <c r="BE104" s="186"/>
      <c r="BF104" s="150"/>
      <c r="BG104" s="150"/>
      <c r="BI104"/>
      <c r="BJ104"/>
      <c r="BK104"/>
      <c r="BL104"/>
    </row>
    <row r="105" spans="3:64" ht="14.6">
      <c r="C105" s="289"/>
      <c r="D105" s="150"/>
      <c r="E105" s="150"/>
      <c r="F105" s="150"/>
      <c r="G105" s="150"/>
      <c r="H105" s="150"/>
      <c r="I105" s="150"/>
      <c r="J105" s="150"/>
      <c r="K105" s="150"/>
      <c r="L105" s="150"/>
      <c r="M105" s="150"/>
      <c r="N105" s="150"/>
      <c r="O105" s="150"/>
      <c r="P105" s="150"/>
      <c r="Q105" s="150"/>
      <c r="R105" s="150"/>
      <c r="S105" s="150"/>
      <c r="T105" s="186"/>
      <c r="U105" s="186"/>
      <c r="V105" s="186"/>
      <c r="W105" s="186"/>
      <c r="X105" s="186"/>
      <c r="Y105" s="186"/>
      <c r="Z105" s="186"/>
      <c r="AA105" s="186"/>
      <c r="AB105" s="186"/>
      <c r="AC105" s="186"/>
      <c r="AD105" s="186"/>
      <c r="AF105" s="150"/>
      <c r="AG105" s="150"/>
      <c r="AH105" s="150"/>
      <c r="AI105" s="150"/>
      <c r="AJ105" s="150"/>
      <c r="AK105" s="150"/>
      <c r="AL105" s="150"/>
      <c r="AM105" s="150"/>
      <c r="AN105" s="150"/>
      <c r="AO105" s="150"/>
      <c r="AP105" s="150"/>
      <c r="AQ105" s="150"/>
      <c r="AT105" s="186"/>
      <c r="AU105" s="186"/>
      <c r="AV105" s="186"/>
      <c r="AW105" s="186"/>
      <c r="AX105" s="186"/>
      <c r="AY105" s="186"/>
      <c r="AZ105" s="186"/>
      <c r="BA105" s="186"/>
      <c r="BB105" s="186"/>
      <c r="BC105" s="186"/>
      <c r="BD105" s="186"/>
      <c r="BE105" s="186"/>
      <c r="BF105" s="150"/>
      <c r="BG105" s="150"/>
      <c r="BI105"/>
      <c r="BJ105"/>
      <c r="BK105"/>
      <c r="BL105"/>
    </row>
    <row r="106" spans="3:64" ht="14.6">
      <c r="C106" s="289"/>
      <c r="D106" s="150"/>
      <c r="E106" s="150"/>
      <c r="F106" s="150"/>
      <c r="G106" s="150"/>
      <c r="H106" s="150"/>
      <c r="I106" s="150"/>
      <c r="J106" s="150"/>
      <c r="K106" s="150"/>
      <c r="L106" s="150"/>
      <c r="M106" s="150"/>
      <c r="N106" s="150"/>
      <c r="O106" s="150"/>
      <c r="P106" s="150"/>
      <c r="Q106" s="150"/>
      <c r="R106" s="150"/>
      <c r="S106" s="150"/>
      <c r="T106" s="186"/>
      <c r="U106" s="186"/>
      <c r="V106" s="186"/>
      <c r="W106" s="186"/>
      <c r="X106" s="186"/>
      <c r="Y106" s="186"/>
      <c r="Z106" s="186"/>
      <c r="AA106" s="186"/>
      <c r="AB106" s="186"/>
      <c r="AC106" s="186"/>
      <c r="AD106" s="186"/>
      <c r="AF106" s="150"/>
      <c r="AG106" s="150"/>
      <c r="AH106" s="150"/>
      <c r="AI106" s="150"/>
      <c r="AJ106" s="150"/>
      <c r="AK106" s="150"/>
      <c r="AL106" s="150"/>
      <c r="AM106" s="150"/>
      <c r="AN106" s="150"/>
      <c r="AO106" s="150"/>
      <c r="AP106" s="150"/>
      <c r="AQ106" s="150"/>
      <c r="AT106" s="186"/>
      <c r="AU106" s="186"/>
      <c r="AV106" s="186"/>
      <c r="AW106" s="186"/>
      <c r="AX106" s="186"/>
      <c r="AY106" s="186"/>
      <c r="AZ106" s="186"/>
      <c r="BA106" s="186"/>
      <c r="BB106" s="186"/>
      <c r="BC106" s="186"/>
      <c r="BD106" s="186"/>
      <c r="BE106" s="186"/>
      <c r="BF106" s="150"/>
      <c r="BG106" s="150"/>
      <c r="BI106"/>
      <c r="BJ106"/>
      <c r="BK106"/>
      <c r="BL106"/>
    </row>
    <row r="107" spans="3:64" ht="14.6">
      <c r="C107" s="289"/>
      <c r="D107" s="150"/>
      <c r="E107" s="150"/>
      <c r="F107" s="150"/>
      <c r="G107" s="150"/>
      <c r="H107" s="150"/>
      <c r="I107" s="150"/>
      <c r="J107" s="150"/>
      <c r="K107" s="150"/>
      <c r="L107" s="150"/>
      <c r="M107" s="150"/>
      <c r="N107" s="150"/>
      <c r="O107" s="150"/>
      <c r="P107" s="150"/>
      <c r="Q107" s="150"/>
      <c r="R107" s="150"/>
      <c r="S107" s="150"/>
      <c r="T107" s="186"/>
      <c r="U107" s="186"/>
      <c r="V107" s="186"/>
      <c r="W107" s="186"/>
      <c r="X107" s="186"/>
      <c r="Y107" s="186"/>
      <c r="Z107" s="186"/>
      <c r="AA107" s="186"/>
      <c r="AB107" s="186"/>
      <c r="AC107" s="186"/>
      <c r="AD107" s="186"/>
      <c r="AF107" s="150"/>
      <c r="AG107" s="150"/>
      <c r="AH107" s="150"/>
      <c r="AI107" s="150"/>
      <c r="AJ107" s="150"/>
      <c r="AK107" s="150"/>
      <c r="AL107" s="150"/>
      <c r="AM107" s="150"/>
      <c r="AN107" s="150"/>
      <c r="AO107" s="150"/>
      <c r="AP107" s="150"/>
      <c r="AQ107" s="150"/>
      <c r="AT107" s="186"/>
      <c r="AU107" s="186"/>
      <c r="AV107" s="186"/>
      <c r="AW107" s="186"/>
      <c r="AX107" s="186"/>
      <c r="AY107" s="186"/>
      <c r="AZ107" s="186"/>
      <c r="BA107" s="186"/>
      <c r="BB107" s="186"/>
      <c r="BC107" s="186"/>
      <c r="BD107" s="186"/>
      <c r="BE107" s="186"/>
      <c r="BF107" s="150"/>
      <c r="BG107" s="150"/>
      <c r="BI107"/>
      <c r="BJ107"/>
      <c r="BK107"/>
      <c r="BL107"/>
    </row>
    <row r="108" spans="3:64" ht="14.6">
      <c r="C108" s="289"/>
      <c r="D108" s="150"/>
      <c r="E108" s="150"/>
      <c r="F108" s="150"/>
      <c r="G108" s="150"/>
      <c r="H108" s="150"/>
      <c r="I108" s="150"/>
      <c r="J108" s="150"/>
      <c r="K108" s="150"/>
      <c r="L108" s="150"/>
      <c r="M108" s="150"/>
      <c r="N108" s="150"/>
      <c r="O108" s="150"/>
      <c r="P108" s="150"/>
      <c r="Q108" s="150"/>
      <c r="R108" s="150"/>
      <c r="S108" s="150"/>
      <c r="T108" s="186"/>
      <c r="U108" s="186"/>
      <c r="V108" s="186"/>
      <c r="W108" s="186"/>
      <c r="X108" s="186"/>
      <c r="Y108" s="186"/>
      <c r="Z108" s="186"/>
      <c r="AA108" s="186"/>
      <c r="AB108" s="186"/>
      <c r="AC108" s="186"/>
      <c r="AD108" s="186"/>
      <c r="AF108" s="150"/>
      <c r="AG108" s="150"/>
      <c r="AH108" s="150"/>
      <c r="AI108" s="150"/>
      <c r="AJ108" s="150"/>
      <c r="AK108" s="150"/>
      <c r="AL108" s="150"/>
      <c r="AM108" s="150"/>
      <c r="AN108" s="150"/>
      <c r="AO108" s="150"/>
      <c r="AP108" s="150"/>
      <c r="AQ108" s="150"/>
      <c r="AT108" s="186"/>
      <c r="AU108" s="186"/>
      <c r="AV108" s="186"/>
      <c r="AW108" s="186"/>
      <c r="AX108" s="186"/>
      <c r="AY108" s="186"/>
      <c r="AZ108" s="186"/>
      <c r="BA108" s="186"/>
      <c r="BB108" s="186"/>
      <c r="BC108" s="186"/>
      <c r="BD108" s="186"/>
      <c r="BE108" s="186"/>
      <c r="BF108" s="150"/>
      <c r="BG108" s="150"/>
      <c r="BI108"/>
      <c r="BJ108"/>
      <c r="BK108"/>
      <c r="BL108"/>
    </row>
    <row r="109" spans="3:64" ht="14.6">
      <c r="C109" s="289"/>
      <c r="D109" s="150"/>
      <c r="E109" s="150"/>
      <c r="F109" s="150"/>
      <c r="G109" s="150"/>
      <c r="H109" s="150"/>
      <c r="I109" s="150"/>
      <c r="J109" s="150"/>
      <c r="K109" s="150"/>
      <c r="L109" s="150"/>
      <c r="M109" s="150"/>
      <c r="N109" s="150"/>
      <c r="O109" s="150"/>
      <c r="P109" s="150"/>
      <c r="Q109" s="150"/>
      <c r="R109" s="150"/>
      <c r="S109" s="150"/>
      <c r="T109" s="186"/>
      <c r="U109" s="186"/>
      <c r="V109" s="186"/>
      <c r="W109" s="186"/>
      <c r="X109" s="186"/>
      <c r="Y109" s="186"/>
      <c r="Z109" s="186"/>
      <c r="AA109" s="186"/>
      <c r="AB109" s="186"/>
      <c r="AC109" s="186"/>
      <c r="AD109" s="186"/>
      <c r="AF109" s="150"/>
      <c r="AG109" s="150"/>
      <c r="AH109" s="150"/>
      <c r="AI109" s="150"/>
      <c r="AJ109" s="150"/>
      <c r="AK109" s="150"/>
      <c r="AL109" s="150"/>
      <c r="AM109" s="150"/>
      <c r="AN109" s="150"/>
      <c r="AO109" s="150"/>
      <c r="AP109" s="150"/>
      <c r="AQ109" s="150"/>
      <c r="AT109" s="186"/>
      <c r="AU109" s="186"/>
      <c r="AV109" s="186"/>
      <c r="AW109" s="186"/>
      <c r="AX109" s="186"/>
      <c r="AY109" s="186"/>
      <c r="AZ109" s="186"/>
      <c r="BA109" s="186"/>
      <c r="BB109" s="186"/>
      <c r="BC109" s="186"/>
      <c r="BD109" s="186"/>
      <c r="BE109" s="186"/>
      <c r="BF109" s="150"/>
      <c r="BG109" s="150"/>
      <c r="BI109"/>
      <c r="BJ109"/>
      <c r="BK109"/>
      <c r="BL109"/>
    </row>
    <row r="110" spans="3:64" ht="14.6">
      <c r="C110" s="289"/>
      <c r="D110" s="150"/>
      <c r="E110" s="150"/>
      <c r="F110" s="150"/>
      <c r="G110" s="150"/>
      <c r="H110" s="150"/>
      <c r="I110" s="150"/>
      <c r="J110" s="150"/>
      <c r="K110" s="150"/>
      <c r="L110" s="150"/>
      <c r="M110" s="150"/>
      <c r="N110" s="150"/>
      <c r="O110" s="150"/>
      <c r="P110" s="150"/>
      <c r="Q110" s="150"/>
      <c r="R110" s="150"/>
      <c r="S110" s="150"/>
      <c r="T110" s="186"/>
      <c r="U110" s="186"/>
      <c r="V110" s="186"/>
      <c r="W110" s="186"/>
      <c r="X110" s="186"/>
      <c r="Y110" s="186"/>
      <c r="Z110" s="186"/>
      <c r="AA110" s="186"/>
      <c r="AB110" s="186"/>
      <c r="AC110" s="186"/>
      <c r="AD110" s="186"/>
      <c r="AF110" s="150"/>
      <c r="AG110" s="150"/>
      <c r="AH110" s="150"/>
      <c r="AI110" s="150"/>
      <c r="AJ110" s="150"/>
      <c r="AK110" s="150"/>
      <c r="AL110" s="150"/>
      <c r="AM110" s="150"/>
      <c r="AN110" s="150"/>
      <c r="AO110" s="150"/>
      <c r="AP110" s="150"/>
      <c r="AQ110" s="150"/>
      <c r="AT110" s="186"/>
      <c r="AU110" s="186"/>
      <c r="AV110" s="186"/>
      <c r="AW110" s="186"/>
      <c r="AX110" s="186"/>
      <c r="AY110" s="186"/>
      <c r="AZ110" s="186"/>
      <c r="BA110" s="186"/>
      <c r="BB110" s="186"/>
      <c r="BC110" s="186"/>
      <c r="BD110" s="186"/>
      <c r="BE110" s="186"/>
      <c r="BF110" s="150"/>
      <c r="BG110" s="150"/>
      <c r="BI110"/>
      <c r="BJ110"/>
      <c r="BK110"/>
      <c r="BL110"/>
    </row>
    <row r="111" spans="3:64" ht="14.6">
      <c r="C111" s="289"/>
      <c r="D111" s="150"/>
      <c r="E111" s="150"/>
      <c r="F111" s="150"/>
      <c r="G111" s="150"/>
      <c r="H111" s="150"/>
      <c r="I111" s="150"/>
      <c r="J111" s="150"/>
      <c r="K111" s="150"/>
      <c r="L111" s="150"/>
      <c r="M111" s="150"/>
      <c r="N111" s="150"/>
      <c r="O111" s="150"/>
      <c r="P111" s="150"/>
      <c r="Q111" s="150"/>
      <c r="R111" s="150"/>
      <c r="S111" s="150"/>
      <c r="T111" s="186"/>
      <c r="U111" s="186"/>
      <c r="V111" s="186"/>
      <c r="W111" s="186"/>
      <c r="X111" s="186"/>
      <c r="Y111" s="186"/>
      <c r="Z111" s="186"/>
      <c r="AA111" s="186"/>
      <c r="AB111" s="186"/>
      <c r="AC111" s="186"/>
      <c r="AD111" s="186"/>
      <c r="AF111" s="150"/>
      <c r="AG111" s="150"/>
      <c r="AH111" s="150"/>
      <c r="AI111" s="150"/>
      <c r="AJ111" s="150"/>
      <c r="AK111" s="150"/>
      <c r="AL111" s="150"/>
      <c r="AM111" s="150"/>
      <c r="AN111" s="150"/>
      <c r="AO111" s="150"/>
      <c r="AP111" s="150"/>
      <c r="AQ111" s="150"/>
      <c r="AT111" s="186"/>
      <c r="AU111" s="186"/>
      <c r="AV111" s="186"/>
      <c r="AW111" s="186"/>
      <c r="AX111" s="186"/>
      <c r="AY111" s="186"/>
      <c r="AZ111" s="186"/>
      <c r="BA111" s="186"/>
      <c r="BB111" s="186"/>
      <c r="BC111" s="186"/>
      <c r="BD111" s="186"/>
      <c r="BE111" s="186"/>
      <c r="BF111" s="150"/>
      <c r="BG111" s="150"/>
      <c r="BI111"/>
      <c r="BJ111"/>
      <c r="BK111"/>
      <c r="BL111"/>
    </row>
    <row r="112" spans="3:64" ht="14.6">
      <c r="C112" s="289"/>
      <c r="D112" s="150"/>
      <c r="E112" s="150"/>
      <c r="F112" s="150"/>
      <c r="G112" s="150"/>
      <c r="H112" s="150"/>
      <c r="I112" s="150"/>
      <c r="J112" s="150"/>
      <c r="K112" s="150"/>
      <c r="L112" s="150"/>
      <c r="M112" s="150"/>
      <c r="N112" s="150"/>
      <c r="O112" s="150"/>
      <c r="P112" s="150"/>
      <c r="Q112" s="150"/>
      <c r="R112" s="150"/>
      <c r="S112" s="150"/>
      <c r="T112" s="186"/>
      <c r="U112" s="186"/>
      <c r="V112" s="186"/>
      <c r="W112" s="186"/>
      <c r="X112" s="186"/>
      <c r="Y112" s="186"/>
      <c r="Z112" s="186"/>
      <c r="AA112" s="186"/>
      <c r="AB112" s="186"/>
      <c r="AC112" s="186"/>
      <c r="AD112" s="186"/>
      <c r="AF112" s="150"/>
      <c r="AG112" s="150"/>
      <c r="AH112" s="150"/>
      <c r="AI112" s="150"/>
      <c r="AJ112" s="150"/>
      <c r="AK112" s="150"/>
      <c r="AL112" s="150"/>
      <c r="AM112" s="150"/>
      <c r="AN112" s="150"/>
      <c r="AO112" s="150"/>
      <c r="AP112" s="150"/>
      <c r="AQ112" s="150"/>
      <c r="AT112" s="186"/>
      <c r="AU112" s="186"/>
      <c r="AV112" s="186"/>
      <c r="AW112" s="186"/>
      <c r="AX112" s="186"/>
      <c r="AY112" s="186"/>
      <c r="AZ112" s="186"/>
      <c r="BA112" s="186"/>
      <c r="BB112" s="186"/>
      <c r="BC112" s="186"/>
      <c r="BD112" s="186"/>
      <c r="BE112" s="186"/>
      <c r="BF112" s="150"/>
      <c r="BG112" s="150"/>
      <c r="BI112"/>
      <c r="BJ112"/>
      <c r="BK112"/>
      <c r="BL112"/>
    </row>
    <row r="113" spans="3:64" ht="14.6">
      <c r="C113" s="289"/>
      <c r="D113" s="150"/>
      <c r="E113" s="150"/>
      <c r="F113" s="150"/>
      <c r="G113" s="150"/>
      <c r="H113" s="150"/>
      <c r="I113" s="150"/>
      <c r="J113" s="150"/>
      <c r="K113" s="150"/>
      <c r="L113" s="150"/>
      <c r="M113" s="150"/>
      <c r="N113" s="150"/>
      <c r="O113" s="150"/>
      <c r="P113" s="150"/>
      <c r="Q113" s="150"/>
      <c r="R113" s="150"/>
      <c r="S113" s="150"/>
      <c r="T113" s="186"/>
      <c r="U113" s="186"/>
      <c r="V113" s="186"/>
      <c r="W113" s="186"/>
      <c r="X113" s="186"/>
      <c r="Y113" s="186"/>
      <c r="Z113" s="186"/>
      <c r="AA113" s="186"/>
      <c r="AB113" s="186"/>
      <c r="AC113" s="186"/>
      <c r="AD113" s="186"/>
      <c r="AF113" s="150"/>
      <c r="AG113" s="150"/>
      <c r="AH113" s="150"/>
      <c r="AI113" s="150"/>
      <c r="AJ113" s="150"/>
      <c r="AK113" s="150"/>
      <c r="AL113" s="150"/>
      <c r="AM113" s="150"/>
      <c r="AN113" s="150"/>
      <c r="AO113" s="150"/>
      <c r="AP113" s="150"/>
      <c r="AQ113" s="150"/>
      <c r="AT113" s="186"/>
      <c r="AU113" s="186"/>
      <c r="AV113" s="186"/>
      <c r="AW113" s="186"/>
      <c r="AX113" s="186"/>
      <c r="AY113" s="186"/>
      <c r="AZ113" s="186"/>
      <c r="BA113" s="186"/>
      <c r="BB113" s="186"/>
      <c r="BC113" s="186"/>
      <c r="BD113" s="186"/>
      <c r="BE113" s="186"/>
      <c r="BF113" s="150"/>
      <c r="BG113" s="150"/>
      <c r="BI113"/>
      <c r="BJ113"/>
      <c r="BK113"/>
      <c r="BL113"/>
    </row>
    <row r="114" spans="3:64" ht="14.6">
      <c r="C114" s="289"/>
      <c r="D114" s="150"/>
      <c r="E114" s="150"/>
      <c r="F114" s="150"/>
      <c r="G114" s="150"/>
      <c r="H114" s="150"/>
      <c r="I114" s="150"/>
      <c r="J114" s="150"/>
      <c r="K114" s="150"/>
      <c r="L114" s="150"/>
      <c r="M114" s="150"/>
      <c r="N114" s="150"/>
      <c r="O114" s="150"/>
      <c r="P114" s="150"/>
      <c r="Q114" s="150"/>
      <c r="R114" s="150"/>
      <c r="S114" s="150"/>
      <c r="T114" s="186"/>
      <c r="U114" s="186"/>
      <c r="V114" s="186"/>
      <c r="W114" s="186"/>
      <c r="X114" s="186"/>
      <c r="Y114" s="186"/>
      <c r="Z114" s="186"/>
      <c r="AA114" s="186"/>
      <c r="AB114" s="186"/>
      <c r="AC114" s="186"/>
      <c r="AD114" s="186"/>
      <c r="AF114" s="150"/>
      <c r="AG114" s="150"/>
      <c r="AH114" s="150"/>
      <c r="AI114" s="150"/>
      <c r="AJ114" s="150"/>
      <c r="AK114" s="150"/>
      <c r="AL114" s="150"/>
      <c r="AM114" s="150"/>
      <c r="AN114" s="150"/>
      <c r="AO114" s="150"/>
      <c r="AP114" s="150"/>
      <c r="AQ114" s="150"/>
      <c r="AT114" s="186"/>
      <c r="AU114" s="186"/>
      <c r="AV114" s="186"/>
      <c r="AW114" s="186"/>
      <c r="AX114" s="186"/>
      <c r="AY114" s="186"/>
      <c r="AZ114" s="186"/>
      <c r="BA114" s="186"/>
      <c r="BB114" s="186"/>
      <c r="BC114" s="186"/>
      <c r="BD114" s="186"/>
      <c r="BE114" s="186"/>
      <c r="BF114" s="150"/>
      <c r="BG114" s="150"/>
      <c r="BI114"/>
      <c r="BJ114"/>
      <c r="BK114"/>
      <c r="BL114"/>
    </row>
    <row r="115" spans="3:64" ht="14.6">
      <c r="C115" s="289"/>
      <c r="D115" s="150"/>
      <c r="E115" s="150"/>
      <c r="F115" s="150"/>
      <c r="G115" s="150"/>
      <c r="H115" s="150"/>
      <c r="I115" s="150"/>
      <c r="J115" s="150"/>
      <c r="K115" s="150"/>
      <c r="L115" s="150"/>
      <c r="M115" s="150"/>
      <c r="N115" s="150"/>
      <c r="O115" s="150"/>
      <c r="P115" s="150"/>
      <c r="Q115" s="150"/>
      <c r="R115" s="150"/>
      <c r="S115" s="150"/>
      <c r="T115" s="186"/>
      <c r="U115" s="186"/>
      <c r="V115" s="186"/>
      <c r="W115" s="186"/>
      <c r="X115" s="186"/>
      <c r="Y115" s="186"/>
      <c r="Z115" s="186"/>
      <c r="AA115" s="186"/>
      <c r="AB115" s="186"/>
      <c r="AC115" s="186"/>
      <c r="AD115" s="186"/>
      <c r="AF115" s="150"/>
      <c r="AG115" s="150"/>
      <c r="AH115" s="150"/>
      <c r="AI115" s="150"/>
      <c r="AJ115" s="150"/>
      <c r="AK115" s="150"/>
      <c r="AL115" s="150"/>
      <c r="AM115" s="150"/>
      <c r="AN115" s="150"/>
      <c r="AO115" s="150"/>
      <c r="AP115" s="150"/>
      <c r="AQ115" s="150"/>
      <c r="AT115" s="186"/>
      <c r="AU115" s="186"/>
      <c r="AV115" s="186"/>
      <c r="AW115" s="186"/>
      <c r="AX115" s="186"/>
      <c r="AY115" s="186"/>
      <c r="AZ115" s="186"/>
      <c r="BA115" s="186"/>
      <c r="BB115" s="186"/>
      <c r="BC115" s="186"/>
      <c r="BD115" s="186"/>
      <c r="BE115" s="186"/>
      <c r="BF115" s="150"/>
      <c r="BG115" s="150"/>
      <c r="BI115"/>
      <c r="BJ115"/>
      <c r="BK115"/>
      <c r="BL115"/>
    </row>
    <row r="116" spans="3:64" ht="14.6">
      <c r="C116" s="289"/>
      <c r="D116" s="150"/>
      <c r="E116" s="150"/>
      <c r="F116" s="150"/>
      <c r="G116" s="150"/>
      <c r="H116" s="150"/>
      <c r="I116" s="150"/>
      <c r="J116" s="150"/>
      <c r="K116" s="150"/>
      <c r="L116" s="150"/>
      <c r="M116" s="150"/>
      <c r="N116" s="150"/>
      <c r="O116" s="150"/>
      <c r="P116" s="150"/>
      <c r="Q116" s="150"/>
      <c r="R116" s="150"/>
      <c r="S116" s="150"/>
      <c r="T116" s="186"/>
      <c r="U116" s="186"/>
      <c r="V116" s="186"/>
      <c r="W116" s="186"/>
      <c r="X116" s="186"/>
      <c r="Y116" s="186"/>
      <c r="Z116" s="186"/>
      <c r="AA116" s="186"/>
      <c r="AB116" s="186"/>
      <c r="AC116" s="186"/>
      <c r="AD116" s="186"/>
      <c r="AF116" s="150"/>
      <c r="AG116" s="150"/>
      <c r="AH116" s="150"/>
      <c r="AI116" s="150"/>
      <c r="AJ116" s="150"/>
      <c r="AK116" s="150"/>
      <c r="AL116" s="150"/>
      <c r="AM116" s="150"/>
      <c r="AN116" s="150"/>
      <c r="AO116" s="150"/>
      <c r="AP116" s="150"/>
      <c r="AQ116" s="150"/>
      <c r="AT116" s="186"/>
      <c r="AU116" s="186"/>
      <c r="AV116" s="186"/>
      <c r="AW116" s="186"/>
      <c r="AX116" s="186"/>
      <c r="AY116" s="186"/>
      <c r="AZ116" s="186"/>
      <c r="BA116" s="186"/>
      <c r="BB116" s="186"/>
      <c r="BC116" s="186"/>
      <c r="BD116" s="186"/>
      <c r="BE116" s="186"/>
      <c r="BF116" s="150"/>
      <c r="BG116" s="150"/>
      <c r="BI116"/>
      <c r="BJ116"/>
      <c r="BK116"/>
      <c r="BL116"/>
    </row>
    <row r="117" spans="3:64" ht="14.6">
      <c r="C117" s="289"/>
      <c r="D117" s="150"/>
      <c r="E117" s="150"/>
      <c r="F117" s="150"/>
      <c r="G117" s="150"/>
      <c r="H117" s="150"/>
      <c r="I117" s="150"/>
      <c r="J117" s="150"/>
      <c r="K117" s="150"/>
      <c r="L117" s="150"/>
      <c r="M117" s="150"/>
      <c r="N117" s="150"/>
      <c r="O117" s="150"/>
      <c r="P117" s="150"/>
      <c r="Q117" s="150"/>
      <c r="R117" s="150"/>
      <c r="S117" s="150"/>
      <c r="T117" s="186"/>
      <c r="U117" s="186"/>
      <c r="V117" s="186"/>
      <c r="W117" s="186"/>
      <c r="X117" s="186"/>
      <c r="Y117" s="186"/>
      <c r="Z117" s="186"/>
      <c r="AA117" s="186"/>
      <c r="AB117" s="186"/>
      <c r="AC117" s="186"/>
      <c r="AD117" s="186"/>
      <c r="AF117" s="150"/>
      <c r="AG117" s="150"/>
      <c r="AH117" s="150"/>
      <c r="AI117" s="150"/>
      <c r="AJ117" s="150"/>
      <c r="AK117" s="150"/>
      <c r="AL117" s="150"/>
      <c r="AM117" s="150"/>
      <c r="AN117" s="150"/>
      <c r="AO117" s="150"/>
      <c r="AP117" s="150"/>
      <c r="AQ117" s="150"/>
      <c r="AT117" s="186"/>
      <c r="AU117" s="186"/>
      <c r="AV117" s="186"/>
      <c r="AW117" s="186"/>
      <c r="AX117" s="186"/>
      <c r="AY117" s="186"/>
      <c r="AZ117" s="186"/>
      <c r="BA117" s="186"/>
      <c r="BB117" s="186"/>
      <c r="BC117" s="186"/>
      <c r="BD117" s="186"/>
      <c r="BE117" s="186"/>
      <c r="BF117" s="150"/>
      <c r="BG117" s="150"/>
      <c r="BI117"/>
      <c r="BJ117"/>
      <c r="BK117"/>
      <c r="BL117"/>
    </row>
    <row r="118" spans="3:64" ht="14.6">
      <c r="C118" s="289"/>
      <c r="D118" s="150"/>
      <c r="E118" s="150"/>
      <c r="F118" s="150"/>
      <c r="G118" s="150"/>
      <c r="H118" s="150"/>
      <c r="I118" s="150"/>
      <c r="J118" s="150"/>
      <c r="K118" s="150"/>
      <c r="L118" s="150"/>
      <c r="M118" s="150"/>
      <c r="N118" s="150"/>
      <c r="O118" s="150"/>
      <c r="P118" s="150"/>
      <c r="Q118" s="150"/>
      <c r="R118" s="150"/>
      <c r="S118" s="150"/>
      <c r="T118" s="186"/>
      <c r="U118" s="186"/>
      <c r="V118" s="186"/>
      <c r="W118" s="186"/>
      <c r="X118" s="186"/>
      <c r="Y118" s="186"/>
      <c r="Z118" s="186"/>
      <c r="AA118" s="186"/>
      <c r="AB118" s="186"/>
      <c r="AC118" s="186"/>
      <c r="AD118" s="186"/>
      <c r="AF118" s="150"/>
      <c r="AG118" s="150"/>
      <c r="AH118" s="150"/>
      <c r="AI118" s="150"/>
      <c r="AJ118" s="150"/>
      <c r="AK118" s="150"/>
      <c r="AL118" s="150"/>
      <c r="AM118" s="150"/>
      <c r="AN118" s="150"/>
      <c r="AO118" s="150"/>
      <c r="AP118" s="150"/>
      <c r="AQ118" s="150"/>
      <c r="AT118" s="186"/>
      <c r="AU118" s="186"/>
      <c r="AV118" s="186"/>
      <c r="AW118" s="186"/>
      <c r="AX118" s="186"/>
      <c r="AY118" s="186"/>
      <c r="AZ118" s="186"/>
      <c r="BA118" s="186"/>
      <c r="BB118" s="186"/>
      <c r="BC118" s="186"/>
      <c r="BD118" s="186"/>
      <c r="BE118" s="186"/>
      <c r="BF118" s="150"/>
      <c r="BG118" s="150"/>
      <c r="BI118"/>
      <c r="BJ118"/>
      <c r="BK118"/>
      <c r="BL118"/>
    </row>
    <row r="119" spans="3:64" ht="14.6">
      <c r="C119" s="289"/>
      <c r="D119" s="150"/>
      <c r="E119" s="150"/>
      <c r="F119" s="150"/>
      <c r="G119" s="150"/>
      <c r="H119" s="150"/>
      <c r="I119" s="150"/>
      <c r="J119" s="150"/>
      <c r="K119" s="150"/>
      <c r="L119" s="150"/>
      <c r="M119" s="150"/>
      <c r="N119" s="150"/>
      <c r="O119" s="150"/>
      <c r="P119" s="150"/>
      <c r="Q119" s="150"/>
      <c r="R119" s="150"/>
      <c r="S119" s="150"/>
      <c r="T119" s="186"/>
      <c r="U119" s="186"/>
      <c r="V119" s="186"/>
      <c r="W119" s="186"/>
      <c r="X119" s="186"/>
      <c r="Y119" s="186"/>
      <c r="Z119" s="186"/>
      <c r="AA119" s="186"/>
      <c r="AB119" s="186"/>
      <c r="AC119" s="186"/>
      <c r="AD119" s="186"/>
      <c r="AF119" s="150"/>
      <c r="AG119" s="150"/>
      <c r="AH119" s="150"/>
      <c r="AI119" s="150"/>
      <c r="AJ119" s="150"/>
      <c r="AK119" s="150"/>
      <c r="AL119" s="150"/>
      <c r="AM119" s="150"/>
      <c r="AN119" s="150"/>
      <c r="AO119" s="150"/>
      <c r="AP119" s="150"/>
      <c r="AQ119" s="150"/>
      <c r="AT119" s="186"/>
      <c r="AU119" s="186"/>
      <c r="AV119" s="186"/>
      <c r="AW119" s="186"/>
      <c r="AX119" s="186"/>
      <c r="AY119" s="186"/>
      <c r="AZ119" s="186"/>
      <c r="BA119" s="186"/>
      <c r="BB119" s="186"/>
      <c r="BC119" s="186"/>
      <c r="BD119" s="186"/>
      <c r="BE119" s="186"/>
      <c r="BF119" s="150"/>
      <c r="BG119" s="150"/>
      <c r="BI119"/>
      <c r="BJ119"/>
      <c r="BK119"/>
      <c r="BL119"/>
    </row>
    <row r="120" spans="3:64" ht="14.6">
      <c r="C120" s="289"/>
      <c r="D120" s="150"/>
      <c r="E120" s="150"/>
      <c r="F120" s="150"/>
      <c r="G120" s="150"/>
      <c r="H120" s="150"/>
      <c r="I120" s="150"/>
      <c r="J120" s="150"/>
      <c r="K120" s="150"/>
      <c r="L120" s="150"/>
      <c r="M120" s="150"/>
      <c r="N120" s="150"/>
      <c r="O120" s="150"/>
      <c r="P120" s="150"/>
      <c r="Q120" s="150"/>
      <c r="R120" s="150"/>
      <c r="S120" s="150"/>
      <c r="T120" s="186"/>
      <c r="U120" s="186"/>
      <c r="V120" s="186"/>
      <c r="W120" s="186"/>
      <c r="X120" s="186"/>
      <c r="Y120" s="186"/>
      <c r="Z120" s="186"/>
      <c r="AA120" s="186"/>
      <c r="AB120" s="186"/>
      <c r="AC120" s="186"/>
      <c r="AD120" s="186"/>
      <c r="AF120" s="150"/>
      <c r="AG120" s="150"/>
      <c r="AH120" s="150"/>
      <c r="AI120" s="150"/>
      <c r="AJ120" s="150"/>
      <c r="AK120" s="150"/>
      <c r="AL120" s="150"/>
      <c r="AM120" s="150"/>
      <c r="AN120" s="150"/>
      <c r="AO120" s="150"/>
      <c r="AP120" s="150"/>
      <c r="AQ120" s="150"/>
      <c r="AT120" s="186"/>
      <c r="AU120" s="186"/>
      <c r="AV120" s="186"/>
      <c r="AW120" s="186"/>
      <c r="AX120" s="186"/>
      <c r="AY120" s="186"/>
      <c r="AZ120" s="186"/>
      <c r="BA120" s="186"/>
      <c r="BB120" s="186"/>
      <c r="BC120" s="186"/>
      <c r="BD120" s="186"/>
      <c r="BE120" s="186"/>
      <c r="BF120" s="150"/>
      <c r="BG120" s="150"/>
      <c r="BI120"/>
      <c r="BJ120"/>
      <c r="BK120"/>
      <c r="BL120"/>
    </row>
    <row r="121" spans="3:64" ht="14.6">
      <c r="C121" s="289"/>
      <c r="D121" s="150"/>
      <c r="E121" s="150"/>
      <c r="F121" s="150"/>
      <c r="G121" s="150"/>
      <c r="H121" s="150"/>
      <c r="I121" s="150"/>
      <c r="J121" s="150"/>
      <c r="K121" s="150"/>
      <c r="L121" s="150"/>
      <c r="M121" s="150"/>
      <c r="N121" s="150"/>
      <c r="O121" s="150"/>
      <c r="P121" s="150"/>
      <c r="Q121" s="150"/>
      <c r="R121" s="150"/>
      <c r="S121" s="150"/>
      <c r="T121" s="186"/>
      <c r="U121" s="186"/>
      <c r="V121" s="186"/>
      <c r="W121" s="186"/>
      <c r="X121" s="186"/>
      <c r="Y121" s="186"/>
      <c r="Z121" s="186"/>
      <c r="AA121" s="186"/>
      <c r="AB121" s="186"/>
      <c r="AC121" s="186"/>
      <c r="AD121" s="186"/>
      <c r="AF121" s="150"/>
      <c r="AG121" s="150"/>
      <c r="AH121" s="150"/>
      <c r="AI121" s="150"/>
      <c r="AJ121" s="150"/>
      <c r="AK121" s="150"/>
      <c r="AL121" s="150"/>
      <c r="AM121" s="150"/>
      <c r="AN121" s="150"/>
      <c r="AO121" s="150"/>
      <c r="AP121" s="150"/>
      <c r="AQ121" s="150"/>
      <c r="AT121" s="186"/>
      <c r="AU121" s="186"/>
      <c r="AV121" s="186"/>
      <c r="AW121" s="186"/>
      <c r="AX121" s="186"/>
      <c r="AY121" s="186"/>
      <c r="AZ121" s="186"/>
      <c r="BA121" s="186"/>
      <c r="BB121" s="186"/>
      <c r="BC121" s="186"/>
      <c r="BD121" s="186"/>
      <c r="BE121" s="186"/>
      <c r="BF121" s="150"/>
      <c r="BG121" s="150"/>
      <c r="BI121"/>
      <c r="BJ121"/>
      <c r="BK121"/>
      <c r="BL121"/>
    </row>
    <row r="122" spans="3:64" ht="14.6">
      <c r="C122" s="289"/>
      <c r="D122" s="150"/>
      <c r="E122" s="150"/>
      <c r="F122" s="150"/>
      <c r="G122" s="150"/>
      <c r="H122" s="150"/>
      <c r="I122" s="150"/>
      <c r="J122" s="150"/>
      <c r="K122" s="150"/>
      <c r="L122" s="150"/>
      <c r="M122" s="150"/>
      <c r="N122" s="150"/>
      <c r="O122" s="150"/>
      <c r="P122" s="150"/>
      <c r="Q122" s="150"/>
      <c r="R122" s="150"/>
      <c r="S122" s="150"/>
      <c r="T122" s="186"/>
      <c r="U122" s="186"/>
      <c r="V122" s="186"/>
      <c r="W122" s="186"/>
      <c r="X122" s="186"/>
      <c r="Y122" s="186"/>
      <c r="Z122" s="186"/>
      <c r="AA122" s="186"/>
      <c r="AB122" s="186"/>
      <c r="AC122" s="186"/>
      <c r="AD122" s="186"/>
      <c r="AF122" s="150"/>
      <c r="AG122" s="150"/>
      <c r="AH122" s="150"/>
      <c r="AI122" s="150"/>
      <c r="AJ122" s="150"/>
      <c r="AK122" s="150"/>
      <c r="AL122" s="150"/>
      <c r="AM122" s="150"/>
      <c r="AN122" s="150"/>
      <c r="AO122" s="150"/>
      <c r="AP122" s="150"/>
      <c r="AQ122" s="150"/>
      <c r="AT122" s="186"/>
      <c r="AU122" s="186"/>
      <c r="AV122" s="186"/>
      <c r="AW122" s="186"/>
      <c r="AX122" s="186"/>
      <c r="AY122" s="186"/>
      <c r="AZ122" s="186"/>
      <c r="BA122" s="186"/>
      <c r="BB122" s="186"/>
      <c r="BC122" s="186"/>
      <c r="BD122" s="186"/>
      <c r="BE122" s="186"/>
      <c r="BF122" s="150"/>
      <c r="BG122" s="150"/>
      <c r="BI122"/>
      <c r="BJ122"/>
      <c r="BK122"/>
      <c r="BL122"/>
    </row>
    <row r="123" spans="3:64" ht="14.6">
      <c r="C123" s="289"/>
      <c r="D123" s="150"/>
      <c r="E123" s="150"/>
      <c r="F123" s="150"/>
      <c r="G123" s="150"/>
      <c r="H123" s="150"/>
      <c r="I123" s="150"/>
      <c r="J123" s="150"/>
      <c r="K123" s="150"/>
      <c r="L123" s="150"/>
      <c r="M123" s="150"/>
      <c r="N123" s="150"/>
      <c r="O123" s="150"/>
      <c r="P123" s="150"/>
      <c r="Q123" s="150"/>
      <c r="R123" s="150"/>
      <c r="S123" s="150"/>
      <c r="T123" s="186"/>
      <c r="U123" s="186"/>
      <c r="V123" s="186"/>
      <c r="W123" s="186"/>
      <c r="X123" s="186"/>
      <c r="Y123" s="186"/>
      <c r="Z123" s="186"/>
      <c r="AA123" s="186"/>
      <c r="AB123" s="186"/>
      <c r="AC123" s="186"/>
      <c r="AD123" s="186"/>
      <c r="AF123" s="150"/>
      <c r="AG123" s="150"/>
      <c r="AH123" s="150"/>
      <c r="AI123" s="150"/>
      <c r="AJ123" s="150"/>
      <c r="AK123" s="150"/>
      <c r="AL123" s="150"/>
      <c r="AM123" s="150"/>
      <c r="AN123" s="150"/>
      <c r="AO123" s="150"/>
      <c r="AP123" s="150"/>
      <c r="AQ123" s="150"/>
      <c r="AT123" s="186"/>
      <c r="AU123" s="186"/>
      <c r="AV123" s="186"/>
      <c r="AW123" s="186"/>
      <c r="AX123" s="186"/>
      <c r="AY123" s="186"/>
      <c r="AZ123" s="186"/>
      <c r="BA123" s="186"/>
      <c r="BB123" s="186"/>
      <c r="BC123" s="186"/>
      <c r="BD123" s="186"/>
      <c r="BE123" s="186"/>
      <c r="BF123" s="150"/>
      <c r="BG123" s="150"/>
      <c r="BI123"/>
      <c r="BJ123"/>
      <c r="BK123"/>
      <c r="BL123"/>
    </row>
    <row r="124" spans="3:64" ht="14.6">
      <c r="C124" s="289"/>
      <c r="D124" s="150"/>
      <c r="E124" s="150"/>
      <c r="F124" s="150"/>
      <c r="G124" s="150"/>
      <c r="H124" s="150"/>
      <c r="I124" s="150"/>
      <c r="J124" s="150"/>
      <c r="K124" s="150"/>
      <c r="L124" s="150"/>
      <c r="M124" s="150"/>
      <c r="N124" s="150"/>
      <c r="O124" s="150"/>
      <c r="P124" s="150"/>
      <c r="Q124" s="150"/>
      <c r="R124" s="150"/>
      <c r="S124" s="150"/>
      <c r="T124" s="186"/>
      <c r="U124" s="186"/>
      <c r="V124" s="186"/>
      <c r="W124" s="186"/>
      <c r="X124" s="186"/>
      <c r="Y124" s="186"/>
      <c r="Z124" s="186"/>
      <c r="AA124" s="186"/>
      <c r="AB124" s="186"/>
      <c r="AC124" s="186"/>
      <c r="AD124" s="186"/>
      <c r="AF124" s="150"/>
      <c r="AG124" s="150"/>
      <c r="AH124" s="150"/>
      <c r="AI124" s="150"/>
      <c r="AJ124" s="150"/>
      <c r="AK124" s="150"/>
      <c r="AL124" s="150"/>
      <c r="AM124" s="150"/>
      <c r="AN124" s="150"/>
      <c r="AO124" s="150"/>
      <c r="AP124" s="150"/>
      <c r="AQ124" s="150"/>
      <c r="AT124" s="186"/>
      <c r="AU124" s="186"/>
      <c r="AV124" s="186"/>
      <c r="AW124" s="186"/>
      <c r="AX124" s="186"/>
      <c r="AY124" s="186"/>
      <c r="AZ124" s="186"/>
      <c r="BA124" s="186"/>
      <c r="BB124" s="186"/>
      <c r="BC124" s="186"/>
      <c r="BD124" s="186"/>
      <c r="BE124" s="186"/>
      <c r="BF124" s="150"/>
      <c r="BG124" s="150"/>
      <c r="BI124"/>
      <c r="BJ124"/>
      <c r="BK124"/>
      <c r="BL124"/>
    </row>
    <row r="125" spans="3:64" ht="14.6">
      <c r="C125" s="289"/>
      <c r="D125" s="150"/>
      <c r="E125" s="150"/>
      <c r="F125" s="150"/>
      <c r="G125" s="150"/>
      <c r="H125" s="150"/>
      <c r="I125" s="150"/>
      <c r="J125" s="150"/>
      <c r="K125" s="150"/>
      <c r="L125" s="150"/>
      <c r="M125" s="150"/>
      <c r="N125" s="150"/>
      <c r="O125" s="150"/>
      <c r="P125" s="150"/>
      <c r="Q125" s="150"/>
      <c r="R125" s="150"/>
      <c r="S125" s="150"/>
      <c r="T125" s="186"/>
      <c r="U125" s="186"/>
      <c r="V125" s="186"/>
      <c r="W125" s="186"/>
      <c r="X125" s="186"/>
      <c r="Y125" s="186"/>
      <c r="Z125" s="186"/>
      <c r="AA125" s="186"/>
      <c r="AB125" s="186"/>
      <c r="AC125" s="186"/>
      <c r="AD125" s="186"/>
      <c r="AF125" s="150"/>
      <c r="AG125" s="150"/>
      <c r="AH125" s="150"/>
      <c r="AI125" s="150"/>
      <c r="AJ125" s="150"/>
      <c r="AK125" s="150"/>
      <c r="AL125" s="150"/>
      <c r="AM125" s="150"/>
      <c r="AN125" s="150"/>
      <c r="AO125" s="150"/>
      <c r="AP125" s="150"/>
      <c r="AQ125" s="150"/>
      <c r="AT125" s="186"/>
      <c r="AU125" s="186"/>
      <c r="AV125" s="186"/>
      <c r="AW125" s="186"/>
      <c r="AX125" s="186"/>
      <c r="AY125" s="186"/>
      <c r="AZ125" s="186"/>
      <c r="BA125" s="186"/>
      <c r="BB125" s="186"/>
      <c r="BC125" s="186"/>
      <c r="BD125" s="186"/>
      <c r="BE125" s="186"/>
      <c r="BF125" s="150"/>
      <c r="BG125" s="150"/>
      <c r="BI125"/>
      <c r="BJ125"/>
      <c r="BK125"/>
      <c r="BL125"/>
    </row>
    <row r="126" spans="3:64" ht="14.6">
      <c r="C126" s="289"/>
      <c r="D126" s="150"/>
      <c r="E126" s="150"/>
      <c r="F126" s="150"/>
      <c r="G126" s="150"/>
      <c r="H126" s="150"/>
      <c r="I126" s="150"/>
      <c r="J126" s="150"/>
      <c r="K126" s="150"/>
      <c r="L126" s="150"/>
      <c r="M126" s="150"/>
      <c r="N126" s="150"/>
      <c r="O126" s="150"/>
      <c r="P126" s="150"/>
      <c r="Q126" s="150"/>
      <c r="R126" s="150"/>
      <c r="S126" s="150"/>
      <c r="T126" s="186"/>
      <c r="U126" s="186"/>
      <c r="V126" s="186"/>
      <c r="W126" s="186"/>
      <c r="X126" s="186"/>
      <c r="Y126" s="186"/>
      <c r="Z126" s="186"/>
      <c r="AA126" s="186"/>
      <c r="AB126" s="186"/>
      <c r="AC126" s="186"/>
      <c r="AD126" s="186"/>
      <c r="AF126" s="150"/>
      <c r="AG126" s="150"/>
      <c r="AH126" s="150"/>
      <c r="AI126" s="150"/>
      <c r="AJ126" s="150"/>
      <c r="AK126" s="150"/>
      <c r="AL126" s="150"/>
      <c r="AM126" s="150"/>
      <c r="AN126" s="150"/>
      <c r="AO126" s="150"/>
      <c r="AP126" s="150"/>
      <c r="AQ126" s="150"/>
      <c r="AT126" s="186"/>
      <c r="AU126" s="186"/>
      <c r="AV126" s="186"/>
      <c r="AW126" s="186"/>
      <c r="AX126" s="186"/>
      <c r="AY126" s="186"/>
      <c r="AZ126" s="186"/>
      <c r="BA126" s="186"/>
      <c r="BB126" s="186"/>
      <c r="BC126" s="186"/>
      <c r="BD126" s="186"/>
      <c r="BE126" s="186"/>
      <c r="BF126" s="150"/>
      <c r="BG126" s="150"/>
      <c r="BI126"/>
      <c r="BJ126"/>
      <c r="BK126"/>
      <c r="BL126"/>
    </row>
    <row r="127" spans="3:64" ht="14.6">
      <c r="C127" s="289"/>
      <c r="D127" s="150"/>
      <c r="E127" s="150"/>
      <c r="F127" s="150"/>
      <c r="G127" s="150"/>
      <c r="H127" s="150"/>
      <c r="I127" s="150"/>
      <c r="J127" s="150"/>
      <c r="K127" s="150"/>
      <c r="L127" s="150"/>
      <c r="M127" s="150"/>
      <c r="N127" s="150"/>
      <c r="O127" s="150"/>
      <c r="P127" s="150"/>
      <c r="Q127" s="150"/>
      <c r="R127" s="150"/>
      <c r="S127" s="150"/>
      <c r="T127" s="186"/>
      <c r="U127" s="186"/>
      <c r="V127" s="186"/>
      <c r="W127" s="186"/>
      <c r="X127" s="186"/>
      <c r="Y127" s="186"/>
      <c r="Z127" s="186"/>
      <c r="AA127" s="186"/>
      <c r="AB127" s="186"/>
      <c r="AC127" s="186"/>
      <c r="AD127" s="186"/>
      <c r="AF127" s="150"/>
      <c r="AG127" s="150"/>
      <c r="AH127" s="150"/>
      <c r="AI127" s="150"/>
      <c r="AJ127" s="150"/>
      <c r="AK127" s="150"/>
      <c r="AL127" s="150"/>
      <c r="AM127" s="150"/>
      <c r="AN127" s="150"/>
      <c r="AO127" s="150"/>
      <c r="AP127" s="150"/>
      <c r="AQ127" s="150"/>
      <c r="AT127" s="186"/>
      <c r="AU127" s="186"/>
      <c r="AV127" s="186"/>
      <c r="AW127" s="186"/>
      <c r="AX127" s="186"/>
      <c r="AY127" s="186"/>
      <c r="AZ127" s="186"/>
      <c r="BA127" s="186"/>
      <c r="BB127" s="186"/>
      <c r="BC127" s="186"/>
      <c r="BD127" s="186"/>
      <c r="BE127" s="186"/>
      <c r="BF127" s="150"/>
      <c r="BG127" s="150"/>
      <c r="BI127"/>
      <c r="BJ127"/>
      <c r="BK127"/>
      <c r="BL127"/>
    </row>
    <row r="128" spans="3:64" ht="14.6">
      <c r="C128" s="289"/>
      <c r="D128" s="150"/>
      <c r="E128" s="150"/>
      <c r="F128" s="150"/>
      <c r="G128" s="150"/>
      <c r="H128" s="150"/>
      <c r="I128" s="150"/>
      <c r="J128" s="150"/>
      <c r="K128" s="150"/>
      <c r="L128" s="150"/>
      <c r="M128" s="150"/>
      <c r="N128" s="150"/>
      <c r="O128" s="150"/>
      <c r="P128" s="150"/>
      <c r="Q128" s="150"/>
      <c r="R128" s="150"/>
      <c r="S128" s="150"/>
      <c r="T128" s="186"/>
      <c r="U128" s="186"/>
      <c r="V128" s="186"/>
      <c r="W128" s="186"/>
      <c r="X128" s="186"/>
      <c r="Y128" s="186"/>
      <c r="Z128" s="186"/>
      <c r="AA128" s="186"/>
      <c r="AB128" s="186"/>
      <c r="AC128" s="186"/>
      <c r="AD128" s="186"/>
      <c r="AF128" s="150"/>
      <c r="AG128" s="150"/>
      <c r="AH128" s="150"/>
      <c r="AI128" s="150"/>
      <c r="AJ128" s="150"/>
      <c r="AK128" s="150"/>
      <c r="AL128" s="150"/>
      <c r="AM128" s="150"/>
      <c r="AN128" s="150"/>
      <c r="AO128" s="150"/>
      <c r="AP128" s="150"/>
      <c r="AQ128" s="150"/>
      <c r="AT128" s="186"/>
      <c r="AU128" s="186"/>
      <c r="AV128" s="186"/>
      <c r="AW128" s="186"/>
      <c r="AX128" s="186"/>
      <c r="AY128" s="186"/>
      <c r="AZ128" s="186"/>
      <c r="BA128" s="186"/>
      <c r="BB128" s="186"/>
      <c r="BC128" s="186"/>
      <c r="BD128" s="186"/>
      <c r="BE128" s="186"/>
      <c r="BF128" s="150"/>
      <c r="BG128" s="150"/>
      <c r="BI128"/>
      <c r="BJ128"/>
      <c r="BK128"/>
      <c r="BL128"/>
    </row>
    <row r="129" spans="3:64" ht="14.6">
      <c r="C129" s="289"/>
      <c r="D129" s="150"/>
      <c r="E129" s="150"/>
      <c r="F129" s="150"/>
      <c r="G129" s="150"/>
      <c r="H129" s="150"/>
      <c r="I129" s="150"/>
      <c r="J129" s="150"/>
      <c r="K129" s="150"/>
      <c r="L129" s="150"/>
      <c r="M129" s="150"/>
      <c r="N129" s="150"/>
      <c r="O129" s="150"/>
      <c r="P129" s="150"/>
      <c r="Q129" s="150"/>
      <c r="R129" s="150"/>
      <c r="S129" s="150"/>
      <c r="T129" s="186"/>
      <c r="U129" s="186"/>
      <c r="V129" s="186"/>
      <c r="W129" s="186"/>
      <c r="X129" s="186"/>
      <c r="Y129" s="186"/>
      <c r="Z129" s="186"/>
      <c r="AA129" s="186"/>
      <c r="AB129" s="186"/>
      <c r="AC129" s="186"/>
      <c r="AD129" s="186"/>
      <c r="AF129" s="150"/>
      <c r="AG129" s="150"/>
      <c r="AH129" s="150"/>
      <c r="AI129" s="150"/>
      <c r="AJ129" s="150"/>
      <c r="AK129" s="150"/>
      <c r="AL129" s="150"/>
      <c r="AM129" s="150"/>
      <c r="AN129" s="150"/>
      <c r="AO129" s="150"/>
      <c r="AP129" s="150"/>
      <c r="AQ129" s="150"/>
      <c r="AT129" s="186"/>
      <c r="AU129" s="186"/>
      <c r="AV129" s="186"/>
      <c r="AW129" s="186"/>
      <c r="AX129" s="186"/>
      <c r="AY129" s="186"/>
      <c r="AZ129" s="186"/>
      <c r="BA129" s="186"/>
      <c r="BB129" s="186"/>
      <c r="BC129" s="186"/>
      <c r="BD129" s="186"/>
      <c r="BE129" s="186"/>
      <c r="BF129" s="150"/>
      <c r="BG129" s="150"/>
      <c r="BI129"/>
      <c r="BJ129"/>
      <c r="BK129"/>
      <c r="BL129"/>
    </row>
    <row r="130" spans="3:64" ht="14.6">
      <c r="C130" s="289"/>
      <c r="D130" s="150"/>
      <c r="E130" s="150"/>
      <c r="F130" s="150"/>
      <c r="G130" s="150"/>
      <c r="H130" s="150"/>
      <c r="I130" s="150"/>
      <c r="J130" s="150"/>
      <c r="K130" s="150"/>
      <c r="L130" s="150"/>
      <c r="M130" s="150"/>
      <c r="N130" s="150"/>
      <c r="O130" s="150"/>
      <c r="P130" s="150"/>
      <c r="Q130" s="150"/>
      <c r="R130" s="150"/>
      <c r="S130" s="150"/>
      <c r="T130" s="186"/>
      <c r="U130" s="186"/>
      <c r="V130" s="186"/>
      <c r="W130" s="186"/>
      <c r="X130" s="186"/>
      <c r="Y130" s="186"/>
      <c r="Z130" s="186"/>
      <c r="AA130" s="186"/>
      <c r="AB130" s="186"/>
      <c r="AC130" s="186"/>
      <c r="AD130" s="186"/>
      <c r="AF130" s="150"/>
      <c r="AG130" s="150"/>
      <c r="AH130" s="150"/>
      <c r="AI130" s="150"/>
      <c r="AJ130" s="150"/>
      <c r="AK130" s="150"/>
      <c r="AL130" s="150"/>
      <c r="AM130" s="150"/>
      <c r="AN130" s="150"/>
      <c r="AO130" s="150"/>
      <c r="AP130" s="150"/>
      <c r="AQ130" s="150"/>
      <c r="AT130" s="186"/>
      <c r="AU130" s="186"/>
      <c r="AV130" s="186"/>
      <c r="AW130" s="186"/>
      <c r="AX130" s="186"/>
      <c r="AY130" s="186"/>
      <c r="AZ130" s="186"/>
      <c r="BA130" s="186"/>
      <c r="BB130" s="186"/>
      <c r="BC130" s="186"/>
      <c r="BD130" s="186"/>
      <c r="BE130" s="186"/>
      <c r="BF130" s="150"/>
      <c r="BG130" s="150"/>
      <c r="BI130"/>
      <c r="BJ130"/>
      <c r="BK130"/>
      <c r="BL130"/>
    </row>
    <row r="131" spans="3:64" ht="14.6">
      <c r="C131" s="289"/>
      <c r="D131" s="150"/>
      <c r="E131" s="150"/>
      <c r="F131" s="150"/>
      <c r="G131" s="150"/>
      <c r="H131" s="150"/>
      <c r="I131" s="150"/>
      <c r="J131" s="150"/>
      <c r="K131" s="150"/>
      <c r="L131" s="150"/>
      <c r="M131" s="150"/>
      <c r="N131" s="150"/>
      <c r="O131" s="150"/>
      <c r="P131" s="150"/>
      <c r="Q131" s="150"/>
      <c r="R131" s="150"/>
      <c r="S131" s="150"/>
      <c r="T131" s="186"/>
      <c r="U131" s="186"/>
      <c r="V131" s="186"/>
      <c r="W131" s="186"/>
      <c r="X131" s="186"/>
      <c r="Y131" s="186"/>
      <c r="Z131" s="186"/>
      <c r="AA131" s="186"/>
      <c r="AB131" s="186"/>
      <c r="AC131" s="186"/>
      <c r="AD131" s="186"/>
      <c r="AF131" s="150"/>
      <c r="AG131" s="150"/>
      <c r="AH131" s="150"/>
      <c r="AI131" s="150"/>
      <c r="AJ131" s="150"/>
      <c r="AK131" s="150"/>
      <c r="AL131" s="150"/>
      <c r="AM131" s="150"/>
      <c r="AN131" s="150"/>
      <c r="AO131" s="150"/>
      <c r="AP131" s="150"/>
      <c r="AQ131" s="150"/>
      <c r="AT131" s="186"/>
      <c r="AU131" s="186"/>
      <c r="AV131" s="186"/>
      <c r="AW131" s="186"/>
      <c r="AX131" s="186"/>
      <c r="AY131" s="186"/>
      <c r="AZ131" s="186"/>
      <c r="BA131" s="186"/>
      <c r="BB131" s="186"/>
      <c r="BC131" s="186"/>
      <c r="BD131" s="186"/>
      <c r="BE131" s="186"/>
      <c r="BF131" s="150"/>
      <c r="BG131" s="150"/>
      <c r="BI131"/>
      <c r="BJ131"/>
      <c r="BK131"/>
      <c r="BL131"/>
    </row>
    <row r="132" spans="3:64" ht="14.6">
      <c r="C132" s="289"/>
      <c r="D132" s="150"/>
      <c r="E132" s="150"/>
      <c r="F132" s="150"/>
      <c r="G132" s="150"/>
      <c r="H132" s="150"/>
      <c r="I132" s="150"/>
      <c r="J132" s="150"/>
      <c r="K132" s="150"/>
      <c r="L132" s="150"/>
      <c r="M132" s="150"/>
      <c r="N132" s="150"/>
      <c r="O132" s="150"/>
      <c r="P132" s="150"/>
      <c r="Q132" s="150"/>
      <c r="R132" s="150"/>
      <c r="S132" s="150"/>
      <c r="T132" s="186"/>
      <c r="U132" s="186"/>
      <c r="V132" s="186"/>
      <c r="W132" s="186"/>
      <c r="X132" s="186"/>
      <c r="Y132" s="186"/>
      <c r="Z132" s="186"/>
      <c r="AA132" s="186"/>
      <c r="AB132" s="186"/>
      <c r="AC132" s="186"/>
      <c r="AD132" s="186"/>
      <c r="AF132" s="150"/>
      <c r="AG132" s="150"/>
      <c r="AH132" s="150"/>
      <c r="AI132" s="150"/>
      <c r="AJ132" s="150"/>
      <c r="AK132" s="150"/>
      <c r="AL132" s="150"/>
      <c r="AM132" s="150"/>
      <c r="AN132" s="150"/>
      <c r="AO132" s="150"/>
      <c r="AP132" s="150"/>
      <c r="AQ132" s="150"/>
      <c r="AT132" s="186"/>
      <c r="AU132" s="186"/>
      <c r="AV132" s="186"/>
      <c r="AW132" s="186"/>
      <c r="AX132" s="186"/>
      <c r="AY132" s="186"/>
      <c r="AZ132" s="186"/>
      <c r="BA132" s="186"/>
      <c r="BB132" s="186"/>
      <c r="BC132" s="186"/>
      <c r="BD132" s="186"/>
      <c r="BE132" s="186"/>
      <c r="BF132" s="150"/>
      <c r="BG132" s="150"/>
      <c r="BI132"/>
      <c r="BJ132"/>
      <c r="BK132"/>
      <c r="BL132"/>
    </row>
    <row r="133" spans="3:64" ht="14.6">
      <c r="C133" s="289"/>
      <c r="D133" s="150"/>
      <c r="E133" s="150"/>
      <c r="F133" s="150"/>
      <c r="G133" s="150"/>
      <c r="H133" s="150"/>
      <c r="I133" s="150"/>
      <c r="J133" s="150"/>
      <c r="K133" s="150"/>
      <c r="L133" s="150"/>
      <c r="M133" s="150"/>
      <c r="N133" s="150"/>
      <c r="O133" s="150"/>
      <c r="P133" s="150"/>
      <c r="Q133" s="150"/>
      <c r="R133" s="150"/>
      <c r="S133" s="150"/>
      <c r="T133" s="186"/>
      <c r="U133" s="186"/>
      <c r="V133" s="186"/>
      <c r="W133" s="186"/>
      <c r="X133" s="186"/>
      <c r="Y133" s="186"/>
      <c r="Z133" s="186"/>
      <c r="AA133" s="186"/>
      <c r="AB133" s="186"/>
      <c r="AC133" s="186"/>
      <c r="AD133" s="186"/>
      <c r="AF133" s="150"/>
      <c r="AG133" s="150"/>
      <c r="AH133" s="150"/>
      <c r="AI133" s="150"/>
      <c r="AJ133" s="150"/>
      <c r="AK133" s="150"/>
      <c r="AL133" s="150"/>
      <c r="AM133" s="150"/>
      <c r="AN133" s="150"/>
      <c r="AO133" s="150"/>
      <c r="AP133" s="150"/>
      <c r="AQ133" s="150"/>
      <c r="AT133" s="186"/>
      <c r="AU133" s="186"/>
      <c r="AV133" s="186"/>
      <c r="AW133" s="186"/>
      <c r="AX133" s="186"/>
      <c r="AY133" s="186"/>
      <c r="AZ133" s="186"/>
      <c r="BA133" s="186"/>
      <c r="BB133" s="186"/>
      <c r="BC133" s="186"/>
      <c r="BD133" s="186"/>
      <c r="BE133" s="186"/>
      <c r="BF133" s="150"/>
      <c r="BG133" s="150"/>
      <c r="BI133"/>
      <c r="BJ133"/>
      <c r="BK133"/>
      <c r="BL133"/>
    </row>
    <row r="134" spans="3:64" ht="14.6">
      <c r="C134" s="289"/>
      <c r="D134" s="150"/>
      <c r="E134" s="150"/>
      <c r="F134" s="150"/>
      <c r="G134" s="150"/>
      <c r="H134" s="150"/>
      <c r="I134" s="150"/>
      <c r="J134" s="150"/>
      <c r="K134" s="150"/>
      <c r="L134" s="150"/>
      <c r="M134" s="150"/>
      <c r="N134" s="150"/>
      <c r="O134" s="150"/>
      <c r="P134" s="150"/>
      <c r="Q134" s="150"/>
      <c r="R134" s="150"/>
      <c r="S134" s="150"/>
      <c r="T134" s="186"/>
      <c r="U134" s="186"/>
      <c r="V134" s="186"/>
      <c r="W134" s="186"/>
      <c r="X134" s="186"/>
      <c r="Y134" s="186"/>
      <c r="Z134" s="186"/>
      <c r="AA134" s="186"/>
      <c r="AB134" s="186"/>
      <c r="AC134" s="186"/>
      <c r="AD134" s="186"/>
      <c r="AF134" s="150"/>
      <c r="AG134" s="150"/>
      <c r="AH134" s="150"/>
      <c r="AI134" s="150"/>
      <c r="AJ134" s="150"/>
      <c r="AK134" s="150"/>
      <c r="AL134" s="150"/>
      <c r="AM134" s="150"/>
      <c r="AN134" s="150"/>
      <c r="AO134" s="150"/>
      <c r="AP134" s="150"/>
      <c r="AQ134" s="150"/>
      <c r="AT134" s="186"/>
      <c r="AU134" s="186"/>
      <c r="AV134" s="186"/>
      <c r="AW134" s="186"/>
      <c r="AX134" s="186"/>
      <c r="AY134" s="186"/>
      <c r="AZ134" s="186"/>
      <c r="BA134" s="186"/>
      <c r="BB134" s="186"/>
      <c r="BC134" s="186"/>
      <c r="BD134" s="186"/>
      <c r="BE134" s="186"/>
      <c r="BF134" s="150"/>
      <c r="BG134" s="150"/>
      <c r="BI134"/>
      <c r="BJ134"/>
      <c r="BK134"/>
      <c r="BL134"/>
    </row>
    <row r="135" spans="3:64" ht="14.6">
      <c r="C135" s="289"/>
      <c r="D135" s="150"/>
      <c r="E135" s="150"/>
      <c r="F135" s="150"/>
      <c r="G135" s="150"/>
      <c r="H135" s="150"/>
      <c r="I135" s="150"/>
      <c r="J135" s="150"/>
      <c r="K135" s="150"/>
      <c r="L135" s="150"/>
      <c r="M135" s="150"/>
      <c r="N135" s="150"/>
      <c r="O135" s="150"/>
      <c r="P135" s="150"/>
      <c r="Q135" s="150"/>
      <c r="R135" s="150"/>
      <c r="S135" s="150"/>
      <c r="T135" s="186"/>
      <c r="U135" s="186"/>
      <c r="V135" s="186"/>
      <c r="W135" s="186"/>
      <c r="X135" s="186"/>
      <c r="Y135" s="186"/>
      <c r="Z135" s="186"/>
      <c r="AA135" s="186"/>
      <c r="AB135" s="186"/>
      <c r="AC135" s="186"/>
      <c r="AD135" s="186"/>
      <c r="AF135" s="150"/>
      <c r="AG135" s="150"/>
      <c r="AH135" s="150"/>
      <c r="AI135" s="150"/>
      <c r="AJ135" s="150"/>
      <c r="AK135" s="150"/>
      <c r="AL135" s="150"/>
      <c r="AM135" s="150"/>
      <c r="AN135" s="150"/>
      <c r="AO135" s="150"/>
      <c r="AP135" s="150"/>
      <c r="AQ135" s="150"/>
      <c r="AT135" s="186"/>
      <c r="AU135" s="186"/>
      <c r="AV135" s="186"/>
      <c r="AW135" s="186"/>
      <c r="AX135" s="186"/>
      <c r="AY135" s="186"/>
      <c r="AZ135" s="186"/>
      <c r="BA135" s="186"/>
      <c r="BB135" s="186"/>
      <c r="BC135" s="186"/>
      <c r="BD135" s="186"/>
      <c r="BE135" s="186"/>
      <c r="BF135" s="150"/>
      <c r="BG135" s="150"/>
      <c r="BI135"/>
      <c r="BJ135"/>
      <c r="BK135"/>
      <c r="BL135"/>
    </row>
    <row r="136" spans="3:64" ht="14.6">
      <c r="C136" s="289"/>
      <c r="D136" s="150"/>
      <c r="E136" s="150"/>
      <c r="F136" s="150"/>
      <c r="G136" s="150"/>
      <c r="H136" s="150"/>
      <c r="I136" s="150"/>
      <c r="J136" s="150"/>
      <c r="K136" s="150"/>
      <c r="L136" s="150"/>
      <c r="M136" s="150"/>
      <c r="N136" s="150"/>
      <c r="O136" s="150"/>
      <c r="P136" s="150"/>
      <c r="Q136" s="150"/>
      <c r="R136" s="150"/>
      <c r="S136" s="150"/>
      <c r="T136" s="186"/>
      <c r="U136" s="186"/>
      <c r="V136" s="186"/>
      <c r="W136" s="186"/>
      <c r="X136" s="186"/>
      <c r="Y136" s="186"/>
      <c r="Z136" s="186"/>
      <c r="AA136" s="186"/>
      <c r="AB136" s="186"/>
      <c r="AC136" s="186"/>
      <c r="AD136" s="186"/>
      <c r="AF136" s="150"/>
      <c r="AG136" s="150"/>
      <c r="AH136" s="150"/>
      <c r="AI136" s="150"/>
      <c r="AJ136" s="150"/>
      <c r="AK136" s="150"/>
      <c r="AL136" s="150"/>
      <c r="AM136" s="150"/>
      <c r="AN136" s="150"/>
      <c r="AO136" s="150"/>
      <c r="AP136" s="150"/>
      <c r="AQ136" s="150"/>
      <c r="AT136" s="186"/>
      <c r="AU136" s="186"/>
      <c r="AV136" s="186"/>
      <c r="AW136" s="186"/>
      <c r="AX136" s="186"/>
      <c r="AY136" s="186"/>
      <c r="AZ136" s="186"/>
      <c r="BA136" s="186"/>
      <c r="BB136" s="186"/>
      <c r="BC136" s="186"/>
      <c r="BD136" s="186"/>
      <c r="BE136" s="186"/>
      <c r="BF136" s="150"/>
      <c r="BG136" s="150"/>
      <c r="BI136"/>
      <c r="BJ136"/>
      <c r="BK136"/>
      <c r="BL136"/>
    </row>
    <row r="137" spans="3:64" ht="14.6">
      <c r="C137" s="289"/>
      <c r="D137" s="150"/>
      <c r="E137" s="150"/>
      <c r="F137" s="150"/>
      <c r="G137" s="150"/>
      <c r="H137" s="150"/>
      <c r="I137" s="150"/>
      <c r="J137" s="150"/>
      <c r="K137" s="150"/>
      <c r="L137" s="150"/>
      <c r="M137" s="150"/>
      <c r="N137" s="150"/>
      <c r="O137" s="150"/>
      <c r="P137" s="150"/>
      <c r="Q137" s="150"/>
      <c r="R137" s="150"/>
      <c r="S137" s="150"/>
      <c r="T137" s="186"/>
      <c r="U137" s="186"/>
      <c r="V137" s="186"/>
      <c r="W137" s="186"/>
      <c r="X137" s="186"/>
      <c r="Y137" s="186"/>
      <c r="Z137" s="186"/>
      <c r="AA137" s="186"/>
      <c r="AB137" s="186"/>
      <c r="AC137" s="186"/>
      <c r="AD137" s="186"/>
      <c r="AF137" s="150"/>
      <c r="AG137" s="150"/>
      <c r="AH137" s="150"/>
      <c r="AI137" s="150"/>
      <c r="AJ137" s="150"/>
      <c r="AK137" s="150"/>
      <c r="AL137" s="150"/>
      <c r="AM137" s="150"/>
      <c r="AN137" s="150"/>
      <c r="AO137" s="150"/>
      <c r="AP137" s="150"/>
      <c r="AQ137" s="150"/>
      <c r="AT137" s="186"/>
      <c r="AU137" s="186"/>
      <c r="AV137" s="186"/>
      <c r="AW137" s="186"/>
      <c r="AX137" s="186"/>
      <c r="AY137" s="186"/>
      <c r="AZ137" s="186"/>
      <c r="BA137" s="186"/>
      <c r="BB137" s="186"/>
      <c r="BC137" s="186"/>
      <c r="BD137" s="186"/>
      <c r="BE137" s="186"/>
      <c r="BF137" s="150"/>
      <c r="BG137" s="150"/>
      <c r="BI137"/>
      <c r="BJ137"/>
      <c r="BK137"/>
      <c r="BL137"/>
    </row>
    <row r="138" spans="3:64" ht="14.6">
      <c r="C138" s="289"/>
      <c r="D138" s="150"/>
      <c r="E138" s="150"/>
      <c r="F138" s="150"/>
      <c r="G138" s="150"/>
      <c r="H138" s="150"/>
      <c r="I138" s="150"/>
      <c r="J138" s="150"/>
      <c r="K138" s="150"/>
      <c r="L138" s="150"/>
      <c r="M138" s="150"/>
      <c r="N138" s="150"/>
      <c r="O138" s="150"/>
      <c r="P138" s="150"/>
      <c r="Q138" s="150"/>
      <c r="R138" s="150"/>
      <c r="S138" s="150"/>
      <c r="T138" s="186"/>
      <c r="U138" s="186"/>
      <c r="V138" s="186"/>
      <c r="W138" s="186"/>
      <c r="X138" s="186"/>
      <c r="Y138" s="186"/>
      <c r="Z138" s="186"/>
      <c r="AA138" s="186"/>
      <c r="AB138" s="186"/>
      <c r="AC138" s="186"/>
      <c r="AD138" s="186"/>
      <c r="AF138" s="150"/>
      <c r="AG138" s="150"/>
      <c r="AH138" s="150"/>
      <c r="AI138" s="150"/>
      <c r="AJ138" s="150"/>
      <c r="AK138" s="150"/>
      <c r="AL138" s="150"/>
      <c r="AM138" s="150"/>
      <c r="AN138" s="150"/>
      <c r="AO138" s="150"/>
      <c r="AP138" s="150"/>
      <c r="AQ138" s="150"/>
      <c r="AT138" s="186"/>
      <c r="AU138" s="186"/>
      <c r="AV138" s="186"/>
      <c r="AW138" s="186"/>
      <c r="AX138" s="186"/>
      <c r="AY138" s="186"/>
      <c r="AZ138" s="186"/>
      <c r="BA138" s="186"/>
      <c r="BB138" s="186"/>
      <c r="BC138" s="186"/>
      <c r="BD138" s="186"/>
      <c r="BE138" s="186"/>
      <c r="BF138" s="150"/>
      <c r="BG138" s="150"/>
      <c r="BI138"/>
      <c r="BJ138"/>
      <c r="BK138"/>
      <c r="BL138"/>
    </row>
    <row r="139" spans="3:64" ht="14.6">
      <c r="C139" s="289"/>
      <c r="D139" s="150"/>
      <c r="E139" s="150"/>
      <c r="F139" s="150"/>
      <c r="G139" s="150"/>
      <c r="H139" s="150"/>
      <c r="I139" s="150"/>
      <c r="J139" s="150"/>
      <c r="K139" s="150"/>
      <c r="L139" s="150"/>
      <c r="M139" s="150"/>
      <c r="N139" s="150"/>
      <c r="O139" s="150"/>
      <c r="P139" s="150"/>
      <c r="Q139" s="150"/>
      <c r="R139" s="150"/>
      <c r="S139" s="150"/>
      <c r="T139" s="186"/>
      <c r="U139" s="186"/>
      <c r="V139" s="186"/>
      <c r="W139" s="186"/>
      <c r="X139" s="186"/>
      <c r="Y139" s="186"/>
      <c r="Z139" s="186"/>
      <c r="AA139" s="186"/>
      <c r="AB139" s="186"/>
      <c r="AC139" s="186"/>
      <c r="AD139" s="186"/>
      <c r="AF139" s="150"/>
      <c r="AG139" s="150"/>
      <c r="AH139" s="150"/>
      <c r="AI139" s="150"/>
      <c r="AJ139" s="150"/>
      <c r="AK139" s="150"/>
      <c r="AL139" s="150"/>
      <c r="AM139" s="150"/>
      <c r="AN139" s="150"/>
      <c r="AO139" s="150"/>
      <c r="AP139" s="150"/>
      <c r="AQ139" s="150"/>
      <c r="AT139" s="186"/>
      <c r="AU139" s="186"/>
      <c r="AV139" s="186"/>
      <c r="AW139" s="186"/>
      <c r="AX139" s="186"/>
      <c r="AY139" s="186"/>
      <c r="AZ139" s="186"/>
      <c r="BA139" s="186"/>
      <c r="BB139" s="186"/>
      <c r="BC139" s="186"/>
      <c r="BD139" s="186"/>
      <c r="BE139" s="186"/>
      <c r="BF139" s="150"/>
      <c r="BG139" s="150"/>
      <c r="BI139"/>
      <c r="BJ139"/>
      <c r="BK139"/>
      <c r="BL139"/>
    </row>
    <row r="140" spans="3:64" ht="14.6">
      <c r="C140" s="289"/>
      <c r="D140" s="150"/>
      <c r="E140" s="150"/>
      <c r="F140" s="150"/>
      <c r="G140" s="150"/>
      <c r="H140" s="150"/>
      <c r="I140" s="150"/>
      <c r="J140" s="150"/>
      <c r="K140" s="150"/>
      <c r="L140" s="150"/>
      <c r="M140" s="150"/>
      <c r="N140" s="150"/>
      <c r="O140" s="150"/>
      <c r="P140" s="150"/>
      <c r="Q140" s="150"/>
      <c r="R140" s="150"/>
      <c r="S140" s="150"/>
      <c r="T140" s="186"/>
      <c r="U140" s="186"/>
      <c r="V140" s="186"/>
      <c r="W140" s="186"/>
      <c r="X140" s="186"/>
      <c r="Y140" s="186"/>
      <c r="Z140" s="186"/>
      <c r="AA140" s="186"/>
      <c r="AB140" s="186"/>
      <c r="AC140" s="186"/>
      <c r="AD140" s="186"/>
      <c r="AF140" s="150"/>
      <c r="AG140" s="150"/>
      <c r="AH140" s="150"/>
      <c r="AI140" s="150"/>
      <c r="AJ140" s="150"/>
      <c r="AK140" s="150"/>
      <c r="AL140" s="150"/>
      <c r="AM140" s="150"/>
      <c r="AN140" s="150"/>
      <c r="AO140" s="150"/>
      <c r="AP140" s="150"/>
      <c r="AQ140" s="150"/>
      <c r="AT140" s="186"/>
      <c r="AU140" s="186"/>
      <c r="AV140" s="186"/>
      <c r="AW140" s="186"/>
      <c r="AX140" s="186"/>
      <c r="AY140" s="186"/>
      <c r="AZ140" s="186"/>
      <c r="BA140" s="186"/>
      <c r="BB140" s="186"/>
      <c r="BC140" s="186"/>
      <c r="BD140" s="186"/>
      <c r="BE140" s="186"/>
      <c r="BF140" s="150"/>
      <c r="BG140" s="150"/>
      <c r="BI140"/>
      <c r="BJ140"/>
      <c r="BK140"/>
      <c r="BL140"/>
    </row>
    <row r="141" spans="3:64" ht="14.6">
      <c r="C141" s="289"/>
      <c r="D141" s="150"/>
      <c r="E141" s="150"/>
      <c r="F141" s="150"/>
      <c r="G141" s="150"/>
      <c r="H141" s="150"/>
      <c r="I141" s="150"/>
      <c r="J141" s="150"/>
      <c r="K141" s="150"/>
      <c r="L141" s="150"/>
      <c r="M141" s="150"/>
      <c r="N141" s="150"/>
      <c r="O141" s="150"/>
      <c r="P141" s="150"/>
      <c r="Q141" s="150"/>
      <c r="R141" s="150"/>
      <c r="S141" s="150"/>
      <c r="T141" s="186"/>
      <c r="U141" s="186"/>
      <c r="V141" s="186"/>
      <c r="W141" s="186"/>
      <c r="X141" s="186"/>
      <c r="Y141" s="186"/>
      <c r="Z141" s="186"/>
      <c r="AA141" s="186"/>
      <c r="AB141" s="186"/>
      <c r="AC141" s="186"/>
      <c r="AD141" s="186"/>
      <c r="AF141" s="150"/>
      <c r="AG141" s="150"/>
      <c r="AH141" s="150"/>
      <c r="AI141" s="150"/>
      <c r="AJ141" s="150"/>
      <c r="AK141" s="150"/>
      <c r="AL141" s="150"/>
      <c r="AM141" s="150"/>
      <c r="AN141" s="150"/>
      <c r="AO141" s="150"/>
      <c r="AP141" s="150"/>
      <c r="AQ141" s="150"/>
      <c r="AT141" s="186"/>
      <c r="AU141" s="186"/>
      <c r="AV141" s="186"/>
      <c r="AW141" s="186"/>
      <c r="AX141" s="186"/>
      <c r="AY141" s="186"/>
      <c r="AZ141" s="186"/>
      <c r="BA141" s="186"/>
      <c r="BB141" s="186"/>
      <c r="BC141" s="186"/>
      <c r="BD141" s="186"/>
      <c r="BE141" s="186"/>
      <c r="BF141" s="150"/>
      <c r="BG141" s="150"/>
      <c r="BI141"/>
      <c r="BJ141"/>
      <c r="BK141"/>
      <c r="BL141"/>
    </row>
    <row r="142" spans="3:64" ht="14.6">
      <c r="C142" s="289"/>
      <c r="D142" s="150"/>
      <c r="E142" s="150"/>
      <c r="F142" s="150"/>
      <c r="G142" s="150"/>
      <c r="H142" s="150"/>
      <c r="I142" s="150"/>
      <c r="J142" s="150"/>
      <c r="K142" s="150"/>
      <c r="L142" s="150"/>
      <c r="M142" s="150"/>
      <c r="N142" s="150"/>
      <c r="O142" s="150"/>
      <c r="P142" s="150"/>
      <c r="Q142" s="150"/>
      <c r="R142" s="150"/>
      <c r="S142" s="150"/>
      <c r="T142" s="186"/>
      <c r="U142" s="186"/>
      <c r="V142" s="186"/>
      <c r="W142" s="186"/>
      <c r="X142" s="186"/>
      <c r="Y142" s="186"/>
      <c r="Z142" s="186"/>
      <c r="AA142" s="186"/>
      <c r="AB142" s="186"/>
      <c r="AC142" s="186"/>
      <c r="AD142" s="186"/>
      <c r="AF142" s="150"/>
      <c r="AG142" s="150"/>
      <c r="AH142" s="150"/>
      <c r="AI142" s="150"/>
      <c r="AJ142" s="150"/>
      <c r="AK142" s="150"/>
      <c r="AL142" s="150"/>
      <c r="AM142" s="150"/>
      <c r="AN142" s="150"/>
      <c r="AO142" s="150"/>
      <c r="AP142" s="150"/>
      <c r="AQ142" s="150"/>
      <c r="AT142" s="186"/>
      <c r="AU142" s="186"/>
      <c r="AV142" s="186"/>
      <c r="AW142" s="186"/>
      <c r="AX142" s="186"/>
      <c r="AY142" s="186"/>
      <c r="AZ142" s="186"/>
      <c r="BA142" s="186"/>
      <c r="BB142" s="186"/>
      <c r="BC142" s="186"/>
      <c r="BD142" s="186"/>
      <c r="BE142" s="186"/>
      <c r="BF142" s="150"/>
      <c r="BG142" s="150"/>
      <c r="BI142"/>
      <c r="BJ142"/>
      <c r="BK142"/>
      <c r="BL142"/>
    </row>
    <row r="143" spans="3:64" ht="14.6">
      <c r="C143" s="289"/>
      <c r="D143" s="150"/>
      <c r="E143" s="150"/>
      <c r="F143" s="150"/>
      <c r="G143" s="150"/>
      <c r="H143" s="150"/>
      <c r="I143" s="150"/>
      <c r="J143" s="150"/>
      <c r="K143" s="150"/>
      <c r="L143" s="150"/>
      <c r="M143" s="150"/>
      <c r="N143" s="150"/>
      <c r="O143" s="150"/>
      <c r="P143" s="150"/>
      <c r="Q143" s="150"/>
      <c r="R143" s="150"/>
      <c r="S143" s="150"/>
      <c r="T143" s="186"/>
      <c r="U143" s="186"/>
      <c r="V143" s="186"/>
      <c r="W143" s="186"/>
      <c r="X143" s="186"/>
      <c r="Y143" s="186"/>
      <c r="Z143" s="186"/>
      <c r="AA143" s="186"/>
      <c r="AB143" s="186"/>
      <c r="AC143" s="186"/>
      <c r="AD143" s="186"/>
      <c r="AF143" s="150"/>
      <c r="AG143" s="150"/>
      <c r="AH143" s="150"/>
      <c r="AI143" s="150"/>
      <c r="AJ143" s="150"/>
      <c r="AK143" s="150"/>
      <c r="AL143" s="150"/>
      <c r="AM143" s="150"/>
      <c r="AN143" s="150"/>
      <c r="AO143" s="150"/>
      <c r="AP143" s="150"/>
      <c r="AQ143" s="150"/>
      <c r="AT143" s="186"/>
      <c r="AU143" s="186"/>
      <c r="AV143" s="186"/>
      <c r="AW143" s="186"/>
      <c r="AX143" s="186"/>
      <c r="AY143" s="186"/>
      <c r="AZ143" s="186"/>
      <c r="BA143" s="186"/>
      <c r="BB143" s="186"/>
      <c r="BC143" s="186"/>
      <c r="BD143" s="186"/>
      <c r="BE143" s="186"/>
      <c r="BF143" s="150"/>
      <c r="BG143" s="150"/>
      <c r="BI143"/>
      <c r="BJ143"/>
      <c r="BK143"/>
      <c r="BL143"/>
    </row>
    <row r="144" spans="3:64" ht="14.6">
      <c r="C144" s="289"/>
      <c r="D144" s="150"/>
      <c r="E144" s="150"/>
      <c r="F144" s="150"/>
      <c r="G144" s="150"/>
      <c r="H144" s="150"/>
      <c r="I144" s="150"/>
      <c r="J144" s="150"/>
      <c r="K144" s="150"/>
      <c r="L144" s="150"/>
      <c r="M144" s="150"/>
      <c r="N144" s="150"/>
      <c r="O144" s="150"/>
      <c r="P144" s="150"/>
      <c r="Q144" s="150"/>
      <c r="R144" s="150"/>
      <c r="S144" s="150"/>
      <c r="T144" s="186"/>
      <c r="U144" s="186"/>
      <c r="V144" s="186"/>
      <c r="W144" s="186"/>
      <c r="X144" s="186"/>
      <c r="Y144" s="186"/>
      <c r="Z144" s="186"/>
      <c r="AA144" s="186"/>
      <c r="AB144" s="186"/>
      <c r="AC144" s="186"/>
      <c r="AD144" s="186"/>
      <c r="AF144" s="150"/>
      <c r="AG144" s="150"/>
      <c r="AH144" s="150"/>
      <c r="AI144" s="150"/>
      <c r="AJ144" s="150"/>
      <c r="AK144" s="150"/>
      <c r="AL144" s="150"/>
      <c r="AM144" s="150"/>
      <c r="AN144" s="150"/>
      <c r="AO144" s="150"/>
      <c r="AP144" s="150"/>
      <c r="AQ144" s="150"/>
      <c r="AT144" s="186"/>
      <c r="AU144" s="186"/>
      <c r="AV144" s="186"/>
      <c r="AW144" s="186"/>
      <c r="AX144" s="186"/>
      <c r="AY144" s="186"/>
      <c r="AZ144" s="186"/>
      <c r="BA144" s="186"/>
      <c r="BB144" s="186"/>
      <c r="BC144" s="186"/>
      <c r="BD144" s="186"/>
      <c r="BE144" s="186"/>
      <c r="BF144" s="150"/>
      <c r="BG144" s="150"/>
      <c r="BI144"/>
      <c r="BJ144"/>
      <c r="BK144"/>
      <c r="BL144"/>
    </row>
    <row r="145" spans="3:64" ht="14.6">
      <c r="C145" s="289"/>
      <c r="D145" s="150"/>
      <c r="E145" s="150"/>
      <c r="F145" s="150"/>
      <c r="G145" s="150"/>
      <c r="H145" s="150"/>
      <c r="I145" s="150"/>
      <c r="J145" s="150"/>
      <c r="K145" s="150"/>
      <c r="L145" s="150"/>
      <c r="M145" s="150"/>
      <c r="N145" s="150"/>
      <c r="O145" s="150"/>
      <c r="P145" s="150"/>
      <c r="Q145" s="150"/>
      <c r="R145" s="150"/>
      <c r="S145" s="150"/>
      <c r="T145" s="186"/>
      <c r="U145" s="186"/>
      <c r="V145" s="186"/>
      <c r="W145" s="186"/>
      <c r="X145" s="186"/>
      <c r="Y145" s="186"/>
      <c r="Z145" s="186"/>
      <c r="AA145" s="186"/>
      <c r="AB145" s="186"/>
      <c r="AC145" s="186"/>
      <c r="AD145" s="186"/>
      <c r="AF145" s="150"/>
      <c r="AG145" s="150"/>
      <c r="AH145" s="150"/>
      <c r="AI145" s="150"/>
      <c r="AJ145" s="150"/>
      <c r="AK145" s="150"/>
      <c r="AL145" s="150"/>
      <c r="AM145" s="150"/>
      <c r="AN145" s="150"/>
      <c r="AO145" s="150"/>
      <c r="AP145" s="150"/>
      <c r="AQ145" s="150"/>
      <c r="AT145" s="186"/>
      <c r="AU145" s="186"/>
      <c r="AV145" s="186"/>
      <c r="AW145" s="186"/>
      <c r="AX145" s="186"/>
      <c r="AY145" s="186"/>
      <c r="AZ145" s="186"/>
      <c r="BA145" s="186"/>
      <c r="BB145" s="186"/>
      <c r="BC145" s="186"/>
      <c r="BD145" s="186"/>
      <c r="BE145" s="186"/>
      <c r="BF145" s="150"/>
      <c r="BG145" s="150"/>
      <c r="BI145"/>
      <c r="BJ145"/>
      <c r="BK145"/>
      <c r="BL145"/>
    </row>
    <row r="146" spans="3:64" ht="14.6">
      <c r="C146" s="289"/>
      <c r="D146" s="150"/>
      <c r="E146" s="150"/>
      <c r="F146" s="150"/>
      <c r="G146" s="150"/>
      <c r="H146" s="150"/>
      <c r="I146" s="150"/>
      <c r="J146" s="150"/>
      <c r="K146" s="150"/>
      <c r="L146" s="150"/>
      <c r="M146" s="150"/>
      <c r="N146" s="150"/>
      <c r="O146" s="150"/>
      <c r="P146" s="150"/>
      <c r="Q146" s="150"/>
      <c r="R146" s="150"/>
      <c r="S146" s="150"/>
      <c r="T146" s="186"/>
      <c r="U146" s="186"/>
      <c r="V146" s="186"/>
      <c r="W146" s="186"/>
      <c r="X146" s="186"/>
      <c r="Y146" s="186"/>
      <c r="Z146" s="186"/>
      <c r="AA146" s="186"/>
      <c r="AB146" s="186"/>
      <c r="AC146" s="186"/>
      <c r="AD146" s="186"/>
      <c r="AF146" s="150"/>
      <c r="AG146" s="150"/>
      <c r="AH146" s="150"/>
      <c r="AI146" s="150"/>
      <c r="AJ146" s="150"/>
      <c r="AK146" s="150"/>
      <c r="AL146" s="150"/>
      <c r="AM146" s="150"/>
      <c r="AN146" s="150"/>
      <c r="AO146" s="150"/>
      <c r="AP146" s="150"/>
      <c r="AQ146" s="150"/>
      <c r="AT146" s="186"/>
      <c r="AU146" s="186"/>
      <c r="AV146" s="186"/>
      <c r="AW146" s="186"/>
      <c r="AX146" s="186"/>
      <c r="AY146" s="186"/>
      <c r="AZ146" s="186"/>
      <c r="BA146" s="186"/>
      <c r="BB146" s="186"/>
      <c r="BC146" s="186"/>
      <c r="BD146" s="186"/>
      <c r="BE146" s="186"/>
      <c r="BF146" s="150"/>
      <c r="BG146" s="150"/>
      <c r="BI146"/>
      <c r="BJ146"/>
      <c r="BK146"/>
      <c r="BL146"/>
    </row>
    <row r="147" spans="3:64" ht="14.6">
      <c r="C147" s="289"/>
      <c r="D147" s="150"/>
      <c r="E147" s="150"/>
      <c r="F147" s="150"/>
      <c r="G147" s="150"/>
      <c r="H147" s="150"/>
      <c r="I147" s="150"/>
      <c r="J147" s="150"/>
      <c r="K147" s="150"/>
      <c r="L147" s="150"/>
      <c r="M147" s="150"/>
      <c r="N147" s="150"/>
      <c r="O147" s="150"/>
      <c r="P147" s="150"/>
      <c r="Q147" s="150"/>
      <c r="R147" s="150"/>
      <c r="S147" s="150"/>
      <c r="T147" s="186"/>
      <c r="U147" s="186"/>
      <c r="V147" s="186"/>
      <c r="W147" s="186"/>
      <c r="X147" s="186"/>
      <c r="Y147" s="186"/>
      <c r="Z147" s="186"/>
      <c r="AA147" s="186"/>
      <c r="AB147" s="186"/>
      <c r="AC147" s="186"/>
      <c r="AD147" s="186"/>
      <c r="AF147" s="150"/>
      <c r="AG147" s="150"/>
      <c r="AH147" s="150"/>
      <c r="AI147" s="150"/>
      <c r="AJ147" s="150"/>
      <c r="AK147" s="150"/>
      <c r="AL147" s="150"/>
      <c r="AM147" s="150"/>
      <c r="AN147" s="150"/>
      <c r="AO147" s="150"/>
      <c r="AP147" s="150"/>
      <c r="AQ147" s="150"/>
      <c r="AT147" s="186"/>
      <c r="AU147" s="186"/>
      <c r="AV147" s="186"/>
      <c r="AW147" s="186"/>
      <c r="AX147" s="186"/>
      <c r="AY147" s="186"/>
      <c r="AZ147" s="186"/>
      <c r="BA147" s="186"/>
      <c r="BB147" s="186"/>
      <c r="BC147" s="186"/>
      <c r="BD147" s="186"/>
      <c r="BE147" s="186"/>
      <c r="BF147" s="150"/>
      <c r="BG147" s="150"/>
      <c r="BI147"/>
      <c r="BJ147"/>
      <c r="BK147"/>
      <c r="BL147"/>
    </row>
    <row r="148" spans="3:64" ht="14.6">
      <c r="C148" s="289"/>
      <c r="D148" s="150"/>
      <c r="E148" s="150"/>
      <c r="F148" s="150"/>
      <c r="G148" s="150"/>
      <c r="H148" s="150"/>
      <c r="I148" s="150"/>
      <c r="J148" s="150"/>
      <c r="K148" s="150"/>
      <c r="L148" s="150"/>
      <c r="M148" s="150"/>
      <c r="N148" s="150"/>
      <c r="O148" s="150"/>
      <c r="P148" s="150"/>
      <c r="Q148" s="150"/>
      <c r="R148" s="150"/>
      <c r="S148" s="150"/>
      <c r="T148" s="186"/>
      <c r="U148" s="186"/>
      <c r="V148" s="186"/>
      <c r="W148" s="186"/>
      <c r="X148" s="186"/>
      <c r="Y148" s="186"/>
      <c r="Z148" s="186"/>
      <c r="AA148" s="186"/>
      <c r="AB148" s="186"/>
      <c r="AC148" s="186"/>
      <c r="AD148" s="186"/>
      <c r="AF148" s="150"/>
      <c r="AG148" s="150"/>
      <c r="AH148" s="150"/>
      <c r="AI148" s="150"/>
      <c r="AJ148" s="150"/>
      <c r="AK148" s="150"/>
      <c r="AL148" s="150"/>
      <c r="AM148" s="150"/>
      <c r="AN148" s="150"/>
      <c r="AO148" s="150"/>
      <c r="AP148" s="150"/>
      <c r="AQ148" s="150"/>
      <c r="AT148" s="186"/>
      <c r="AU148" s="186"/>
      <c r="AV148" s="186"/>
      <c r="AW148" s="186"/>
      <c r="AX148" s="186"/>
      <c r="AY148" s="186"/>
      <c r="AZ148" s="186"/>
      <c r="BA148" s="186"/>
      <c r="BB148" s="186"/>
      <c r="BC148" s="186"/>
      <c r="BD148" s="186"/>
      <c r="BE148" s="186"/>
      <c r="BF148" s="150"/>
      <c r="BG148" s="150"/>
      <c r="BI148"/>
      <c r="BJ148"/>
      <c r="BK148"/>
      <c r="BL148"/>
    </row>
    <row r="149" spans="3:64" ht="14.6">
      <c r="C149" s="289"/>
      <c r="D149" s="150"/>
      <c r="E149" s="150"/>
      <c r="F149" s="150"/>
      <c r="G149" s="150"/>
      <c r="H149" s="150"/>
      <c r="I149" s="150"/>
      <c r="J149" s="150"/>
      <c r="K149" s="150"/>
      <c r="L149" s="150"/>
      <c r="M149" s="150"/>
      <c r="N149" s="150"/>
      <c r="O149" s="150"/>
      <c r="P149" s="150"/>
      <c r="Q149" s="150"/>
      <c r="R149" s="150"/>
      <c r="S149" s="150"/>
      <c r="T149" s="186"/>
      <c r="U149" s="186"/>
      <c r="V149" s="186"/>
      <c r="W149" s="186"/>
      <c r="X149" s="186"/>
      <c r="Y149" s="186"/>
      <c r="Z149" s="186"/>
      <c r="AA149" s="186"/>
      <c r="AB149" s="186"/>
      <c r="AC149" s="186"/>
      <c r="AD149" s="186"/>
      <c r="AF149" s="150"/>
      <c r="AG149" s="150"/>
      <c r="AH149" s="150"/>
      <c r="AI149" s="150"/>
      <c r="AJ149" s="150"/>
      <c r="AK149" s="150"/>
      <c r="AL149" s="150"/>
      <c r="AM149" s="150"/>
      <c r="AN149" s="150"/>
      <c r="AO149" s="150"/>
      <c r="AP149" s="150"/>
      <c r="AQ149" s="150"/>
      <c r="AT149" s="186"/>
      <c r="AU149" s="186"/>
      <c r="AV149" s="186"/>
      <c r="AW149" s="186"/>
      <c r="AX149" s="186"/>
      <c r="AY149" s="186"/>
      <c r="AZ149" s="186"/>
      <c r="BA149" s="186"/>
      <c r="BB149" s="186"/>
      <c r="BC149" s="186"/>
      <c r="BD149" s="186"/>
      <c r="BE149" s="186"/>
      <c r="BF149" s="150"/>
      <c r="BG149" s="150"/>
      <c r="BI149"/>
      <c r="BJ149"/>
      <c r="BK149"/>
      <c r="BL149"/>
    </row>
    <row r="150" spans="3:64" ht="14.6">
      <c r="C150" s="289"/>
      <c r="D150" s="150"/>
      <c r="E150" s="150"/>
      <c r="F150" s="150"/>
      <c r="G150" s="150"/>
      <c r="H150" s="150"/>
      <c r="I150" s="150"/>
      <c r="J150" s="150"/>
      <c r="K150" s="150"/>
      <c r="L150" s="150"/>
      <c r="M150" s="150"/>
      <c r="N150" s="150"/>
      <c r="O150" s="150"/>
      <c r="P150" s="150"/>
      <c r="Q150" s="150"/>
      <c r="R150" s="150"/>
      <c r="S150" s="150"/>
      <c r="T150" s="186"/>
      <c r="U150" s="186"/>
      <c r="V150" s="186"/>
      <c r="W150" s="186"/>
      <c r="X150" s="186"/>
      <c r="Y150" s="186"/>
      <c r="Z150" s="186"/>
      <c r="AA150" s="186"/>
      <c r="AB150" s="186"/>
      <c r="AC150" s="186"/>
      <c r="AD150" s="186"/>
      <c r="AF150" s="150"/>
      <c r="AG150" s="150"/>
      <c r="AH150" s="150"/>
      <c r="AI150" s="150"/>
      <c r="AJ150" s="150"/>
      <c r="AK150" s="150"/>
      <c r="AL150" s="150"/>
      <c r="AM150" s="150"/>
      <c r="AN150" s="150"/>
      <c r="AO150" s="150"/>
      <c r="AP150" s="150"/>
      <c r="AQ150" s="150"/>
      <c r="AT150" s="186"/>
      <c r="AU150" s="186"/>
      <c r="AV150" s="186"/>
      <c r="AW150" s="186"/>
      <c r="AX150" s="186"/>
      <c r="AY150" s="186"/>
      <c r="AZ150" s="186"/>
      <c r="BA150" s="186"/>
      <c r="BB150" s="186"/>
      <c r="BC150" s="186"/>
      <c r="BD150" s="186"/>
      <c r="BE150" s="186"/>
      <c r="BF150" s="150"/>
      <c r="BG150" s="150"/>
      <c r="BI150"/>
      <c r="BJ150"/>
      <c r="BK150"/>
      <c r="BL150"/>
    </row>
    <row r="151" spans="3:64" ht="14.6">
      <c r="C151" s="289"/>
      <c r="D151" s="150"/>
      <c r="E151" s="150"/>
      <c r="F151" s="150"/>
      <c r="G151" s="150"/>
      <c r="H151" s="150"/>
      <c r="I151" s="150"/>
      <c r="J151" s="150"/>
      <c r="K151" s="150"/>
      <c r="L151" s="150"/>
      <c r="M151" s="150"/>
      <c r="N151" s="150"/>
      <c r="O151" s="150"/>
      <c r="P151" s="150"/>
      <c r="Q151" s="150"/>
      <c r="R151" s="150"/>
      <c r="S151" s="150"/>
      <c r="T151" s="186"/>
      <c r="U151" s="186"/>
      <c r="V151" s="186"/>
      <c r="W151" s="186"/>
      <c r="X151" s="186"/>
      <c r="Y151" s="186"/>
      <c r="Z151" s="186"/>
      <c r="AA151" s="186"/>
      <c r="AB151" s="186"/>
      <c r="AC151" s="186"/>
      <c r="AD151" s="186"/>
      <c r="AF151" s="150"/>
      <c r="AG151" s="150"/>
      <c r="AH151" s="150"/>
      <c r="AI151" s="150"/>
      <c r="AJ151" s="150"/>
      <c r="AK151" s="150"/>
      <c r="AL151" s="150"/>
      <c r="AM151" s="150"/>
      <c r="AN151" s="150"/>
      <c r="AO151" s="150"/>
      <c r="AP151" s="150"/>
      <c r="AQ151" s="150"/>
      <c r="AT151" s="186"/>
      <c r="AU151" s="186"/>
      <c r="AV151" s="186"/>
      <c r="AW151" s="186"/>
      <c r="AX151" s="186"/>
      <c r="AY151" s="186"/>
      <c r="AZ151" s="186"/>
      <c r="BA151" s="186"/>
      <c r="BB151" s="186"/>
      <c r="BC151" s="186"/>
      <c r="BD151" s="186"/>
      <c r="BE151" s="186"/>
      <c r="BF151" s="150"/>
      <c r="BG151" s="150"/>
      <c r="BI151"/>
      <c r="BJ151"/>
      <c r="BK151"/>
      <c r="BL151"/>
    </row>
    <row r="152" spans="3:64" ht="14.6">
      <c r="C152" s="289"/>
      <c r="D152" s="150"/>
      <c r="E152" s="150"/>
      <c r="F152" s="150"/>
      <c r="G152" s="150"/>
      <c r="H152" s="150"/>
      <c r="I152" s="150"/>
      <c r="J152" s="150"/>
      <c r="K152" s="150"/>
      <c r="L152" s="150"/>
      <c r="M152" s="150"/>
      <c r="N152" s="150"/>
      <c r="O152" s="150"/>
      <c r="P152" s="150"/>
      <c r="Q152" s="150"/>
      <c r="R152" s="150"/>
      <c r="S152" s="150"/>
      <c r="T152" s="186"/>
      <c r="U152" s="186"/>
      <c r="V152" s="186"/>
      <c r="W152" s="186"/>
      <c r="X152" s="186"/>
      <c r="Y152" s="186"/>
      <c r="Z152" s="186"/>
      <c r="AA152" s="186"/>
      <c r="AB152" s="186"/>
      <c r="AC152" s="186"/>
      <c r="AD152" s="186"/>
      <c r="AF152" s="150"/>
      <c r="AG152" s="150"/>
      <c r="AH152" s="150"/>
      <c r="AI152" s="150"/>
      <c r="AJ152" s="150"/>
      <c r="AK152" s="150"/>
      <c r="AL152" s="150"/>
      <c r="AM152" s="150"/>
      <c r="AN152" s="150"/>
      <c r="AO152" s="150"/>
      <c r="AP152" s="150"/>
      <c r="AQ152" s="150"/>
      <c r="AT152" s="186"/>
      <c r="AU152" s="186"/>
      <c r="AV152" s="186"/>
      <c r="AW152" s="186"/>
      <c r="AX152" s="186"/>
      <c r="AY152" s="186"/>
      <c r="AZ152" s="186"/>
      <c r="BA152" s="186"/>
      <c r="BB152" s="186"/>
      <c r="BC152" s="186"/>
      <c r="BD152" s="186"/>
      <c r="BE152" s="186"/>
      <c r="BF152" s="150"/>
      <c r="BG152" s="150"/>
      <c r="BI152"/>
      <c r="BJ152"/>
      <c r="BK152"/>
      <c r="BL152"/>
    </row>
    <row r="153" spans="3:64" ht="14.6">
      <c r="C153" s="289"/>
      <c r="D153" s="150"/>
      <c r="E153" s="150"/>
      <c r="F153" s="150"/>
      <c r="G153" s="150"/>
      <c r="H153" s="150"/>
      <c r="I153" s="150"/>
      <c r="J153" s="150"/>
      <c r="K153" s="150"/>
      <c r="L153" s="150"/>
      <c r="M153" s="150"/>
      <c r="N153" s="150"/>
      <c r="O153" s="150"/>
      <c r="P153" s="150"/>
      <c r="Q153" s="150"/>
      <c r="R153" s="150"/>
      <c r="S153" s="150"/>
      <c r="T153" s="186"/>
      <c r="U153" s="186"/>
      <c r="V153" s="186"/>
      <c r="W153" s="186"/>
      <c r="X153" s="186"/>
      <c r="Y153" s="186"/>
      <c r="Z153" s="186"/>
      <c r="AA153" s="186"/>
      <c r="AB153" s="186"/>
      <c r="AC153" s="186"/>
      <c r="AD153" s="186"/>
      <c r="AF153" s="150"/>
      <c r="AG153" s="150"/>
      <c r="AH153" s="150"/>
      <c r="AI153" s="150"/>
      <c r="AJ153" s="150"/>
      <c r="AK153" s="150"/>
      <c r="AL153" s="150"/>
      <c r="AM153" s="150"/>
      <c r="AN153" s="150"/>
      <c r="AO153" s="150"/>
      <c r="AP153" s="150"/>
      <c r="AQ153" s="150"/>
      <c r="AT153" s="186"/>
      <c r="AU153" s="186"/>
      <c r="AV153" s="186"/>
      <c r="AW153" s="186"/>
      <c r="AX153" s="186"/>
      <c r="AY153" s="186"/>
      <c r="AZ153" s="186"/>
      <c r="BA153" s="186"/>
      <c r="BB153" s="186"/>
      <c r="BC153" s="186"/>
      <c r="BD153" s="186"/>
      <c r="BE153" s="186"/>
      <c r="BF153" s="150"/>
      <c r="BG153" s="150"/>
      <c r="BI153"/>
      <c r="BJ153"/>
      <c r="BK153"/>
      <c r="BL153"/>
    </row>
    <row r="154" spans="3:64" ht="14.6">
      <c r="C154" s="289"/>
      <c r="D154" s="150"/>
      <c r="E154" s="150"/>
      <c r="F154" s="150"/>
      <c r="G154" s="150"/>
      <c r="H154" s="150"/>
      <c r="I154" s="150"/>
      <c r="J154" s="150"/>
      <c r="K154" s="150"/>
      <c r="L154" s="150"/>
      <c r="M154" s="150"/>
      <c r="N154" s="150"/>
      <c r="O154" s="150"/>
      <c r="P154" s="150"/>
      <c r="Q154" s="150"/>
      <c r="R154" s="150"/>
      <c r="S154" s="150"/>
      <c r="T154" s="186"/>
      <c r="U154" s="186"/>
      <c r="V154" s="186"/>
      <c r="W154" s="186"/>
      <c r="X154" s="186"/>
      <c r="Y154" s="186"/>
      <c r="Z154" s="186"/>
      <c r="AA154" s="186"/>
      <c r="AB154" s="186"/>
      <c r="AC154" s="186"/>
      <c r="AD154" s="186"/>
      <c r="AF154" s="150"/>
      <c r="AG154" s="150"/>
      <c r="AH154" s="150"/>
      <c r="AI154" s="150"/>
      <c r="AJ154" s="150"/>
      <c r="AK154" s="150"/>
      <c r="AL154" s="150"/>
      <c r="AM154" s="150"/>
      <c r="AN154" s="150"/>
      <c r="AO154" s="150"/>
      <c r="AP154" s="150"/>
      <c r="AQ154" s="150"/>
      <c r="AT154" s="186"/>
      <c r="AU154" s="186"/>
      <c r="AV154" s="186"/>
      <c r="AW154" s="186"/>
      <c r="AX154" s="186"/>
      <c r="AY154" s="186"/>
      <c r="AZ154" s="186"/>
      <c r="BA154" s="186"/>
      <c r="BB154" s="186"/>
      <c r="BC154" s="186"/>
      <c r="BD154" s="186"/>
      <c r="BE154" s="186"/>
      <c r="BF154" s="150"/>
      <c r="BG154" s="150"/>
      <c r="BI154"/>
      <c r="BJ154"/>
      <c r="BK154"/>
      <c r="BL154"/>
    </row>
    <row r="155" spans="3:64" ht="14.6">
      <c r="C155" s="289"/>
      <c r="D155" s="150"/>
      <c r="E155" s="150"/>
      <c r="F155" s="150"/>
      <c r="G155" s="150"/>
      <c r="H155" s="150"/>
      <c r="I155" s="150"/>
      <c r="J155" s="150"/>
      <c r="K155" s="150"/>
      <c r="L155" s="150"/>
      <c r="M155" s="150"/>
      <c r="N155" s="150"/>
      <c r="O155" s="150"/>
      <c r="P155" s="150"/>
      <c r="Q155" s="150"/>
      <c r="R155" s="150"/>
      <c r="S155" s="150"/>
      <c r="T155" s="186"/>
      <c r="U155" s="186"/>
      <c r="V155" s="186"/>
      <c r="W155" s="186"/>
      <c r="X155" s="186"/>
      <c r="Y155" s="186"/>
      <c r="Z155" s="186"/>
      <c r="AA155" s="186"/>
      <c r="AB155" s="186"/>
      <c r="AC155" s="186"/>
      <c r="AD155" s="186"/>
      <c r="AF155" s="150"/>
      <c r="AG155" s="150"/>
      <c r="AH155" s="150"/>
      <c r="AI155" s="150"/>
      <c r="AJ155" s="150"/>
      <c r="AK155" s="150"/>
      <c r="AL155" s="150"/>
      <c r="AM155" s="150"/>
      <c r="AN155" s="150"/>
      <c r="AO155" s="150"/>
      <c r="AP155" s="150"/>
      <c r="AQ155" s="150"/>
      <c r="AT155" s="186"/>
      <c r="AU155" s="186"/>
      <c r="AV155" s="186"/>
      <c r="AW155" s="186"/>
      <c r="AX155" s="186"/>
      <c r="AY155" s="186"/>
      <c r="AZ155" s="186"/>
      <c r="BA155" s="186"/>
      <c r="BB155" s="186"/>
      <c r="BC155" s="186"/>
      <c r="BD155" s="186"/>
      <c r="BE155" s="186"/>
      <c r="BF155" s="150"/>
      <c r="BG155" s="150"/>
      <c r="BI155"/>
      <c r="BJ155"/>
      <c r="BK155"/>
      <c r="BL155"/>
    </row>
    <row r="156" spans="3:64" ht="14.6">
      <c r="C156" s="289"/>
      <c r="D156" s="150"/>
      <c r="E156" s="150"/>
      <c r="F156" s="150"/>
      <c r="G156" s="150"/>
      <c r="H156" s="150"/>
      <c r="I156" s="150"/>
      <c r="J156" s="150"/>
      <c r="K156" s="150"/>
      <c r="L156" s="150"/>
      <c r="M156" s="150"/>
      <c r="N156" s="150"/>
      <c r="O156" s="150"/>
      <c r="P156" s="150"/>
      <c r="Q156" s="150"/>
      <c r="R156" s="150"/>
      <c r="S156" s="150"/>
      <c r="T156" s="186"/>
      <c r="U156" s="186"/>
      <c r="V156" s="186"/>
      <c r="W156" s="186"/>
      <c r="X156" s="186"/>
      <c r="Y156" s="186"/>
      <c r="Z156" s="186"/>
      <c r="AA156" s="186"/>
      <c r="AB156" s="186"/>
      <c r="AC156" s="186"/>
      <c r="AD156" s="186"/>
      <c r="AF156" s="150"/>
      <c r="AG156" s="150"/>
      <c r="AH156" s="150"/>
      <c r="AI156" s="150"/>
      <c r="AJ156" s="150"/>
      <c r="AK156" s="150"/>
      <c r="AL156" s="150"/>
      <c r="AM156" s="150"/>
      <c r="AN156" s="150"/>
      <c r="AO156" s="150"/>
      <c r="AP156" s="150"/>
      <c r="AQ156" s="150"/>
      <c r="AT156" s="186"/>
      <c r="AU156" s="186"/>
      <c r="AV156" s="186"/>
      <c r="AW156" s="186"/>
      <c r="AX156" s="186"/>
      <c r="AY156" s="186"/>
      <c r="AZ156" s="186"/>
      <c r="BA156" s="186"/>
      <c r="BB156" s="186"/>
      <c r="BC156" s="186"/>
      <c r="BD156" s="186"/>
      <c r="BE156" s="186"/>
      <c r="BF156" s="150"/>
      <c r="BG156" s="150"/>
      <c r="BI156"/>
      <c r="BJ156"/>
      <c r="BK156"/>
      <c r="BL156"/>
    </row>
    <row r="157" spans="3:64" ht="14.6">
      <c r="C157" s="289"/>
      <c r="D157" s="150"/>
      <c r="E157" s="150"/>
      <c r="F157" s="150"/>
      <c r="G157" s="150"/>
      <c r="H157" s="150"/>
      <c r="I157" s="150"/>
      <c r="J157" s="150"/>
      <c r="K157" s="150"/>
      <c r="L157" s="150"/>
      <c r="M157" s="150"/>
      <c r="N157" s="150"/>
      <c r="O157" s="150"/>
      <c r="P157" s="150"/>
      <c r="Q157" s="150"/>
      <c r="R157" s="150"/>
      <c r="S157" s="150"/>
      <c r="T157" s="186"/>
      <c r="U157" s="186"/>
      <c r="V157" s="186"/>
      <c r="W157" s="186"/>
      <c r="X157" s="186"/>
      <c r="Y157" s="186"/>
      <c r="Z157" s="186"/>
      <c r="AA157" s="186"/>
      <c r="AB157" s="186"/>
      <c r="AC157" s="186"/>
      <c r="AD157" s="186"/>
      <c r="AF157" s="150"/>
      <c r="AG157" s="150"/>
      <c r="AH157" s="150"/>
      <c r="AI157" s="150"/>
      <c r="AJ157" s="150"/>
      <c r="AK157" s="150"/>
      <c r="AL157" s="150"/>
      <c r="AM157" s="150"/>
      <c r="AN157" s="150"/>
      <c r="AO157" s="150"/>
      <c r="AP157" s="150"/>
      <c r="AQ157" s="150"/>
      <c r="AT157" s="186"/>
      <c r="AU157" s="186"/>
      <c r="AV157" s="186"/>
      <c r="AW157" s="186"/>
      <c r="AX157" s="186"/>
      <c r="AY157" s="186"/>
      <c r="AZ157" s="186"/>
      <c r="BA157" s="186"/>
      <c r="BB157" s="186"/>
      <c r="BC157" s="186"/>
      <c r="BD157" s="186"/>
      <c r="BE157" s="186"/>
      <c r="BF157" s="150"/>
      <c r="BG157" s="150"/>
      <c r="BI157"/>
      <c r="BJ157"/>
      <c r="BK157"/>
      <c r="BL157"/>
    </row>
    <row r="158" spans="3:64" ht="14.6">
      <c r="C158" s="289"/>
      <c r="D158" s="150"/>
      <c r="E158" s="150"/>
      <c r="F158" s="150"/>
      <c r="G158" s="150"/>
      <c r="H158" s="150"/>
      <c r="I158" s="150"/>
      <c r="J158" s="150"/>
      <c r="K158" s="150"/>
      <c r="L158" s="150"/>
      <c r="M158" s="150"/>
      <c r="N158" s="150"/>
      <c r="O158" s="150"/>
      <c r="P158" s="150"/>
      <c r="Q158" s="150"/>
      <c r="R158" s="150"/>
      <c r="S158" s="150"/>
      <c r="T158" s="186"/>
      <c r="U158" s="186"/>
      <c r="V158" s="186"/>
      <c r="W158" s="186"/>
      <c r="X158" s="186"/>
      <c r="Y158" s="186"/>
      <c r="Z158" s="186"/>
      <c r="AA158" s="186"/>
      <c r="AB158" s="186"/>
      <c r="AC158" s="186"/>
      <c r="AD158" s="186"/>
      <c r="AF158" s="150"/>
      <c r="AG158" s="150"/>
      <c r="AH158" s="150"/>
      <c r="AI158" s="150"/>
      <c r="AJ158" s="150"/>
      <c r="AK158" s="150"/>
      <c r="AL158" s="150"/>
      <c r="AM158" s="150"/>
      <c r="AN158" s="150"/>
      <c r="AO158" s="150"/>
      <c r="AP158" s="150"/>
      <c r="AQ158" s="150"/>
      <c r="AT158" s="186"/>
      <c r="AU158" s="186"/>
      <c r="AV158" s="186"/>
      <c r="AW158" s="186"/>
      <c r="AX158" s="186"/>
      <c r="AY158" s="186"/>
      <c r="AZ158" s="186"/>
      <c r="BA158" s="186"/>
      <c r="BB158" s="186"/>
      <c r="BC158" s="186"/>
      <c r="BD158" s="186"/>
      <c r="BE158" s="186"/>
      <c r="BF158" s="150"/>
      <c r="BG158" s="150"/>
      <c r="BI158"/>
      <c r="BJ158"/>
      <c r="BK158"/>
      <c r="BL158"/>
    </row>
    <row r="159" spans="3:64" ht="14.6">
      <c r="C159" s="289"/>
      <c r="D159" s="150"/>
      <c r="E159" s="150"/>
      <c r="F159" s="150"/>
      <c r="G159" s="150"/>
      <c r="H159" s="150"/>
      <c r="I159" s="150"/>
      <c r="J159" s="150"/>
      <c r="K159" s="150"/>
      <c r="L159" s="150"/>
      <c r="M159" s="150"/>
      <c r="N159" s="150"/>
      <c r="O159" s="150"/>
      <c r="P159" s="150"/>
      <c r="Q159" s="150"/>
      <c r="R159" s="150"/>
      <c r="S159" s="150"/>
      <c r="T159" s="186"/>
      <c r="U159" s="186"/>
      <c r="V159" s="186"/>
      <c r="W159" s="186"/>
      <c r="X159" s="186"/>
      <c r="Y159" s="186"/>
      <c r="Z159" s="186"/>
      <c r="AA159" s="186"/>
      <c r="AB159" s="186"/>
      <c r="AC159" s="186"/>
      <c r="AD159" s="186"/>
      <c r="AF159" s="150"/>
      <c r="AG159" s="150"/>
      <c r="AH159" s="150"/>
      <c r="AI159" s="150"/>
      <c r="AJ159" s="150"/>
      <c r="AK159" s="150"/>
      <c r="AL159" s="150"/>
      <c r="AM159" s="150"/>
      <c r="AN159" s="150"/>
      <c r="AO159" s="150"/>
      <c r="AP159" s="150"/>
      <c r="AQ159" s="150"/>
      <c r="AT159" s="186"/>
      <c r="AU159" s="186"/>
      <c r="AV159" s="186"/>
      <c r="AW159" s="186"/>
      <c r="AX159" s="186"/>
      <c r="AY159" s="186"/>
      <c r="AZ159" s="186"/>
      <c r="BA159" s="186"/>
      <c r="BB159" s="186"/>
      <c r="BC159" s="186"/>
      <c r="BD159" s="186"/>
      <c r="BE159" s="186"/>
      <c r="BF159" s="150"/>
      <c r="BG159" s="150"/>
      <c r="BI159"/>
      <c r="BJ159"/>
      <c r="BK159"/>
      <c r="BL159"/>
    </row>
    <row r="160" spans="3:64" ht="14.6">
      <c r="C160" s="289"/>
      <c r="D160" s="150"/>
      <c r="E160" s="150"/>
      <c r="F160" s="150"/>
      <c r="G160" s="150"/>
      <c r="H160" s="150"/>
      <c r="I160" s="150"/>
      <c r="J160" s="150"/>
      <c r="K160" s="150"/>
      <c r="L160" s="150"/>
      <c r="M160" s="150"/>
      <c r="N160" s="150"/>
      <c r="O160" s="150"/>
      <c r="P160" s="150"/>
      <c r="Q160" s="150"/>
      <c r="R160" s="150"/>
      <c r="S160" s="150"/>
      <c r="T160" s="186"/>
      <c r="U160" s="186"/>
      <c r="V160" s="186"/>
      <c r="W160" s="186"/>
      <c r="X160" s="186"/>
      <c r="Y160" s="186"/>
      <c r="Z160" s="186"/>
      <c r="AA160" s="186"/>
      <c r="AB160" s="186"/>
      <c r="AC160" s="186"/>
      <c r="AD160" s="186"/>
      <c r="AF160" s="150"/>
      <c r="AG160" s="150"/>
      <c r="AH160" s="150"/>
      <c r="AI160" s="150"/>
      <c r="AJ160" s="150"/>
      <c r="AK160" s="150"/>
      <c r="AL160" s="150"/>
      <c r="AM160" s="150"/>
      <c r="AN160" s="150"/>
      <c r="AO160" s="150"/>
      <c r="AP160" s="150"/>
      <c r="AQ160" s="150"/>
      <c r="AT160" s="186"/>
      <c r="AU160" s="186"/>
      <c r="AV160" s="186"/>
      <c r="AW160" s="186"/>
      <c r="AX160" s="186"/>
      <c r="AY160" s="186"/>
      <c r="AZ160" s="186"/>
      <c r="BA160" s="186"/>
      <c r="BB160" s="186"/>
      <c r="BC160" s="186"/>
      <c r="BD160" s="186"/>
      <c r="BE160" s="186"/>
      <c r="BF160" s="150"/>
      <c r="BG160" s="150"/>
      <c r="BI160"/>
      <c r="BJ160"/>
      <c r="BK160"/>
      <c r="BL160"/>
    </row>
    <row r="161" spans="3:64" ht="14.6">
      <c r="C161" s="289"/>
      <c r="D161" s="150"/>
      <c r="E161" s="150"/>
      <c r="F161" s="150"/>
      <c r="G161" s="150"/>
      <c r="H161" s="150"/>
      <c r="I161" s="150"/>
      <c r="J161" s="150"/>
      <c r="K161" s="150"/>
      <c r="L161" s="150"/>
      <c r="M161" s="150"/>
      <c r="N161" s="150"/>
      <c r="O161" s="150"/>
      <c r="P161" s="150"/>
      <c r="Q161" s="150"/>
      <c r="R161" s="150"/>
      <c r="S161" s="150"/>
      <c r="T161" s="186"/>
      <c r="U161" s="186"/>
      <c r="V161" s="186"/>
      <c r="W161" s="186"/>
      <c r="X161" s="186"/>
      <c r="Y161" s="186"/>
      <c r="Z161" s="186"/>
      <c r="AA161" s="186"/>
      <c r="AB161" s="186"/>
      <c r="AC161" s="186"/>
      <c r="AD161" s="186"/>
      <c r="AF161" s="150"/>
      <c r="AG161" s="150"/>
      <c r="AH161" s="150"/>
      <c r="AI161" s="150"/>
      <c r="AJ161" s="150"/>
      <c r="AK161" s="150"/>
      <c r="AL161" s="150"/>
      <c r="AM161" s="150"/>
      <c r="AN161" s="150"/>
      <c r="AO161" s="150"/>
      <c r="AP161" s="150"/>
      <c r="AQ161" s="150"/>
      <c r="AT161" s="186"/>
      <c r="AU161" s="186"/>
      <c r="AV161" s="186"/>
      <c r="AW161" s="186"/>
      <c r="AX161" s="186"/>
      <c r="AY161" s="186"/>
      <c r="AZ161" s="186"/>
      <c r="BA161" s="186"/>
      <c r="BB161" s="186"/>
      <c r="BC161" s="186"/>
      <c r="BD161" s="186"/>
      <c r="BE161" s="186"/>
      <c r="BF161" s="150"/>
      <c r="BG161" s="150"/>
      <c r="BI161"/>
      <c r="BJ161"/>
      <c r="BK161"/>
      <c r="BL161"/>
    </row>
    <row r="162" spans="3:64" ht="14.6">
      <c r="C162" s="289"/>
      <c r="D162" s="150"/>
      <c r="E162" s="150"/>
      <c r="F162" s="150"/>
      <c r="G162" s="150"/>
      <c r="H162" s="150"/>
      <c r="I162" s="150"/>
      <c r="J162" s="150"/>
      <c r="K162" s="150"/>
      <c r="L162" s="150"/>
      <c r="M162" s="150"/>
      <c r="N162" s="150"/>
      <c r="O162" s="150"/>
      <c r="P162" s="150"/>
      <c r="Q162" s="150"/>
      <c r="R162" s="150"/>
      <c r="S162" s="150"/>
      <c r="T162" s="186"/>
      <c r="U162" s="186"/>
      <c r="V162" s="186"/>
      <c r="W162" s="186"/>
      <c r="X162" s="186"/>
      <c r="Y162" s="186"/>
      <c r="Z162" s="186"/>
      <c r="AA162" s="186"/>
      <c r="AB162" s="186"/>
      <c r="AC162" s="186"/>
      <c r="AD162" s="186"/>
      <c r="AF162" s="150"/>
      <c r="AG162" s="150"/>
      <c r="AH162" s="150"/>
      <c r="AI162" s="150"/>
      <c r="AJ162" s="150"/>
      <c r="AK162" s="150"/>
      <c r="AL162" s="150"/>
      <c r="AM162" s="150"/>
      <c r="AN162" s="150"/>
      <c r="AO162" s="150"/>
      <c r="AP162" s="150"/>
      <c r="AQ162" s="150"/>
      <c r="AT162" s="186"/>
      <c r="AU162" s="186"/>
      <c r="AV162" s="186"/>
      <c r="AW162" s="186"/>
      <c r="AX162" s="186"/>
      <c r="AY162" s="186"/>
      <c r="AZ162" s="186"/>
      <c r="BA162" s="186"/>
      <c r="BB162" s="186"/>
      <c r="BC162" s="186"/>
      <c r="BD162" s="186"/>
      <c r="BE162" s="186"/>
      <c r="BF162" s="150"/>
      <c r="BG162" s="150"/>
      <c r="BI162"/>
      <c r="BJ162"/>
      <c r="BK162"/>
      <c r="BL162"/>
    </row>
    <row r="163" spans="3:64" ht="14.6">
      <c r="C163" s="289"/>
      <c r="D163" s="150"/>
      <c r="E163" s="150"/>
      <c r="F163" s="150"/>
      <c r="G163" s="150"/>
      <c r="H163" s="150"/>
      <c r="I163" s="150"/>
      <c r="J163" s="150"/>
      <c r="K163" s="150"/>
      <c r="L163" s="150"/>
      <c r="M163" s="150"/>
      <c r="N163" s="150"/>
      <c r="O163" s="150"/>
      <c r="P163" s="150"/>
      <c r="Q163" s="150"/>
      <c r="R163" s="150"/>
      <c r="S163" s="150"/>
      <c r="T163" s="186"/>
      <c r="U163" s="186"/>
      <c r="V163" s="186"/>
      <c r="W163" s="186"/>
      <c r="X163" s="186"/>
      <c r="Y163" s="186"/>
      <c r="Z163" s="186"/>
      <c r="AA163" s="186"/>
      <c r="AB163" s="186"/>
      <c r="AC163" s="186"/>
      <c r="AD163" s="186"/>
      <c r="AF163" s="150"/>
      <c r="AG163" s="150"/>
      <c r="AH163" s="150"/>
      <c r="AI163" s="150"/>
      <c r="AJ163" s="150"/>
      <c r="AK163" s="150"/>
      <c r="AL163" s="150"/>
      <c r="AM163" s="150"/>
      <c r="AN163" s="150"/>
      <c r="AO163" s="150"/>
      <c r="AP163" s="150"/>
      <c r="AQ163" s="150"/>
      <c r="AT163" s="186"/>
      <c r="AU163" s="186"/>
      <c r="AV163" s="186"/>
      <c r="AW163" s="186"/>
      <c r="AX163" s="186"/>
      <c r="AY163" s="186"/>
      <c r="AZ163" s="186"/>
      <c r="BA163" s="186"/>
      <c r="BB163" s="186"/>
      <c r="BC163" s="186"/>
      <c r="BD163" s="186"/>
      <c r="BE163" s="186"/>
      <c r="BF163" s="150"/>
      <c r="BG163" s="150"/>
      <c r="BI163"/>
      <c r="BJ163"/>
      <c r="BK163"/>
      <c r="BL163"/>
    </row>
    <row r="164" spans="3:64" ht="14.6">
      <c r="C164" s="289"/>
      <c r="D164" s="150"/>
      <c r="E164" s="150"/>
      <c r="F164" s="150"/>
      <c r="G164" s="150"/>
      <c r="H164" s="150"/>
      <c r="I164" s="150"/>
      <c r="J164" s="150"/>
      <c r="K164" s="150"/>
      <c r="L164" s="150"/>
      <c r="M164" s="150"/>
      <c r="N164" s="150"/>
      <c r="O164" s="150"/>
      <c r="P164" s="150"/>
      <c r="Q164" s="150"/>
      <c r="R164" s="150"/>
      <c r="S164" s="150"/>
      <c r="T164" s="186"/>
      <c r="U164" s="186"/>
      <c r="V164" s="186"/>
      <c r="W164" s="186"/>
      <c r="X164" s="186"/>
      <c r="Y164" s="186"/>
      <c r="Z164" s="186"/>
      <c r="AA164" s="186"/>
      <c r="AB164" s="186"/>
      <c r="AC164" s="186"/>
      <c r="AD164" s="186"/>
      <c r="AF164" s="150"/>
      <c r="AG164" s="150"/>
      <c r="AH164" s="150"/>
      <c r="AI164" s="150"/>
      <c r="AJ164" s="150"/>
      <c r="AK164" s="150"/>
      <c r="AL164" s="150"/>
      <c r="AM164" s="150"/>
      <c r="AN164" s="150"/>
      <c r="AO164" s="150"/>
      <c r="AP164" s="150"/>
      <c r="AQ164" s="150"/>
      <c r="AT164" s="186"/>
      <c r="AU164" s="186"/>
      <c r="AV164" s="186"/>
      <c r="AW164" s="186"/>
      <c r="AX164" s="186"/>
      <c r="AY164" s="186"/>
      <c r="AZ164" s="186"/>
      <c r="BA164" s="186"/>
      <c r="BB164" s="186"/>
      <c r="BC164" s="186"/>
      <c r="BD164" s="186"/>
      <c r="BE164" s="186"/>
      <c r="BF164" s="150"/>
      <c r="BG164" s="150"/>
      <c r="BI164"/>
      <c r="BJ164"/>
      <c r="BK164"/>
      <c r="BL164"/>
    </row>
    <row r="165" spans="3:64" ht="14.6">
      <c r="C165" s="289"/>
      <c r="D165" s="150"/>
      <c r="E165" s="150"/>
      <c r="F165" s="150"/>
      <c r="G165" s="150"/>
      <c r="H165" s="150"/>
      <c r="I165" s="150"/>
      <c r="J165" s="150"/>
      <c r="K165" s="150"/>
      <c r="L165" s="150"/>
      <c r="M165" s="150"/>
      <c r="N165" s="150"/>
      <c r="O165" s="150"/>
      <c r="P165" s="150"/>
      <c r="Q165" s="150"/>
      <c r="R165" s="150"/>
      <c r="S165" s="150"/>
      <c r="T165" s="186"/>
      <c r="U165" s="186"/>
      <c r="V165" s="186"/>
      <c r="W165" s="186"/>
      <c r="X165" s="186"/>
      <c r="Y165" s="186"/>
      <c r="Z165" s="186"/>
      <c r="AA165" s="186"/>
      <c r="AB165" s="186"/>
      <c r="AC165" s="186"/>
      <c r="AD165" s="186"/>
      <c r="AF165" s="150"/>
      <c r="AG165" s="150"/>
      <c r="AH165" s="150"/>
      <c r="AI165" s="150"/>
      <c r="AJ165" s="150"/>
      <c r="AK165" s="150"/>
      <c r="AL165" s="150"/>
      <c r="AM165" s="150"/>
      <c r="AN165" s="150"/>
      <c r="AO165" s="150"/>
      <c r="AP165" s="150"/>
      <c r="AQ165" s="150"/>
      <c r="AT165" s="186"/>
      <c r="AU165" s="186"/>
      <c r="AV165" s="186"/>
      <c r="AW165" s="186"/>
      <c r="AX165" s="186"/>
      <c r="AY165" s="186"/>
      <c r="AZ165" s="186"/>
      <c r="BA165" s="186"/>
      <c r="BB165" s="186"/>
      <c r="BC165" s="186"/>
      <c r="BD165" s="186"/>
      <c r="BE165" s="186"/>
      <c r="BF165" s="150"/>
      <c r="BG165" s="150"/>
      <c r="BI165"/>
      <c r="BJ165"/>
      <c r="BK165"/>
      <c r="BL165"/>
    </row>
    <row r="166" spans="3:64" ht="14.6">
      <c r="C166" s="289"/>
      <c r="D166" s="150"/>
      <c r="E166" s="150"/>
      <c r="F166" s="150"/>
      <c r="G166" s="150"/>
      <c r="H166" s="150"/>
      <c r="I166" s="150"/>
      <c r="J166" s="150"/>
      <c r="K166" s="150"/>
      <c r="L166" s="150"/>
      <c r="M166" s="150"/>
      <c r="N166" s="150"/>
      <c r="O166" s="150"/>
      <c r="P166" s="150"/>
      <c r="Q166" s="150"/>
      <c r="R166" s="150"/>
      <c r="S166" s="150"/>
      <c r="T166" s="186"/>
      <c r="U166" s="186"/>
      <c r="V166" s="186"/>
      <c r="W166" s="186"/>
      <c r="X166" s="186"/>
      <c r="Y166" s="186"/>
      <c r="Z166" s="186"/>
      <c r="AA166" s="186"/>
      <c r="AB166" s="186"/>
      <c r="AC166" s="186"/>
      <c r="AD166" s="186"/>
      <c r="AF166" s="150"/>
      <c r="AG166" s="150"/>
      <c r="AH166" s="150"/>
      <c r="AI166" s="150"/>
      <c r="AJ166" s="150"/>
      <c r="AK166" s="150"/>
      <c r="AL166" s="150"/>
      <c r="AM166" s="150"/>
      <c r="AN166" s="150"/>
      <c r="AO166" s="150"/>
      <c r="AP166" s="150"/>
      <c r="AQ166" s="150"/>
      <c r="AT166" s="186"/>
      <c r="AU166" s="186"/>
      <c r="AV166" s="186"/>
      <c r="AW166" s="186"/>
      <c r="AX166" s="186"/>
      <c r="AY166" s="186"/>
      <c r="AZ166" s="186"/>
      <c r="BA166" s="186"/>
      <c r="BB166" s="186"/>
      <c r="BC166" s="186"/>
      <c r="BD166" s="186"/>
      <c r="BE166" s="186"/>
      <c r="BF166" s="150"/>
      <c r="BG166" s="150"/>
      <c r="BI166"/>
      <c r="BJ166"/>
      <c r="BK166"/>
      <c r="BL166"/>
    </row>
    <row r="167" spans="3:64" ht="14.6">
      <c r="C167" s="289"/>
      <c r="D167" s="150"/>
      <c r="E167" s="150"/>
      <c r="F167" s="150"/>
      <c r="G167" s="150"/>
      <c r="H167" s="150"/>
      <c r="I167" s="150"/>
      <c r="J167" s="150"/>
      <c r="K167" s="150"/>
      <c r="L167" s="150"/>
      <c r="M167" s="150"/>
      <c r="N167" s="150"/>
      <c r="O167" s="150"/>
      <c r="P167" s="150"/>
      <c r="Q167" s="150"/>
      <c r="R167" s="150"/>
      <c r="S167" s="150"/>
      <c r="T167" s="186"/>
      <c r="U167" s="186"/>
      <c r="V167" s="186"/>
      <c r="W167" s="186"/>
      <c r="X167" s="186"/>
      <c r="Y167" s="186"/>
      <c r="Z167" s="186"/>
      <c r="AA167" s="186"/>
      <c r="AB167" s="186"/>
      <c r="AC167" s="186"/>
      <c r="AD167" s="186"/>
      <c r="AF167" s="150"/>
      <c r="AG167" s="150"/>
      <c r="AH167" s="150"/>
      <c r="AI167" s="150"/>
      <c r="AJ167" s="150"/>
      <c r="AK167" s="150"/>
      <c r="AL167" s="150"/>
      <c r="AM167" s="150"/>
      <c r="AN167" s="150"/>
      <c r="AO167" s="150"/>
      <c r="AP167" s="150"/>
      <c r="AQ167" s="150"/>
      <c r="AT167" s="186"/>
      <c r="AU167" s="186"/>
      <c r="AV167" s="186"/>
      <c r="AW167" s="186"/>
      <c r="AX167" s="186"/>
      <c r="AY167" s="186"/>
      <c r="AZ167" s="186"/>
      <c r="BA167" s="186"/>
      <c r="BB167" s="186"/>
      <c r="BC167" s="186"/>
      <c r="BD167" s="186"/>
      <c r="BE167" s="186"/>
      <c r="BF167" s="150"/>
      <c r="BG167" s="150"/>
      <c r="BI167"/>
      <c r="BJ167"/>
      <c r="BK167"/>
      <c r="BL167"/>
    </row>
    <row r="168" spans="3:64" ht="14.6">
      <c r="C168" s="289"/>
      <c r="D168" s="150"/>
      <c r="E168" s="150"/>
      <c r="F168" s="150"/>
      <c r="G168" s="150"/>
      <c r="H168" s="150"/>
      <c r="I168" s="150"/>
      <c r="J168" s="150"/>
      <c r="K168" s="150"/>
      <c r="L168" s="150"/>
      <c r="M168" s="150"/>
      <c r="N168" s="150"/>
      <c r="O168" s="150"/>
      <c r="P168" s="150"/>
      <c r="Q168" s="150"/>
      <c r="R168" s="150"/>
      <c r="S168" s="150"/>
      <c r="T168" s="186"/>
      <c r="U168" s="186"/>
      <c r="V168" s="186"/>
      <c r="W168" s="186"/>
      <c r="X168" s="186"/>
      <c r="Y168" s="186"/>
      <c r="Z168" s="186"/>
      <c r="AA168" s="186"/>
      <c r="AB168" s="186"/>
      <c r="AC168" s="186"/>
      <c r="AD168" s="186"/>
      <c r="AF168" s="150"/>
      <c r="AG168" s="150"/>
      <c r="AH168" s="150"/>
      <c r="AI168" s="150"/>
      <c r="AJ168" s="150"/>
      <c r="AK168" s="150"/>
      <c r="AL168" s="150"/>
      <c r="AM168" s="150"/>
      <c r="AN168" s="150"/>
      <c r="AO168" s="150"/>
      <c r="AP168" s="150"/>
      <c r="AQ168" s="150"/>
      <c r="AT168" s="186"/>
      <c r="AU168" s="186"/>
      <c r="AV168" s="186"/>
      <c r="AW168" s="186"/>
      <c r="AX168" s="186"/>
      <c r="AY168" s="186"/>
      <c r="AZ168" s="186"/>
      <c r="BA168" s="186"/>
      <c r="BB168" s="186"/>
      <c r="BC168" s="186"/>
      <c r="BD168" s="186"/>
      <c r="BE168" s="186"/>
      <c r="BF168" s="150"/>
      <c r="BG168" s="150"/>
      <c r="BI168"/>
      <c r="BJ168"/>
      <c r="BK168"/>
      <c r="BL168"/>
    </row>
    <row r="169" spans="3:64" ht="14.6">
      <c r="C169" s="289"/>
      <c r="D169" s="150"/>
      <c r="E169" s="150"/>
      <c r="F169" s="150"/>
      <c r="G169" s="150"/>
      <c r="H169" s="150"/>
      <c r="I169" s="150"/>
      <c r="J169" s="150"/>
      <c r="K169" s="150"/>
      <c r="L169" s="150"/>
      <c r="M169" s="150"/>
      <c r="N169" s="150"/>
      <c r="O169" s="150"/>
      <c r="P169" s="150"/>
      <c r="Q169" s="150"/>
      <c r="R169" s="150"/>
      <c r="S169" s="150"/>
      <c r="T169" s="186"/>
      <c r="U169" s="186"/>
      <c r="V169" s="186"/>
      <c r="W169" s="186"/>
      <c r="X169" s="186"/>
      <c r="Y169" s="186"/>
      <c r="Z169" s="186"/>
      <c r="AA169" s="186"/>
      <c r="AB169" s="186"/>
      <c r="AC169" s="186"/>
      <c r="AD169" s="186"/>
      <c r="AF169" s="150"/>
      <c r="AG169" s="150"/>
      <c r="AH169" s="150"/>
      <c r="AI169" s="150"/>
      <c r="AJ169" s="150"/>
      <c r="AK169" s="150"/>
      <c r="AL169" s="150"/>
      <c r="AM169" s="150"/>
      <c r="AN169" s="150"/>
      <c r="AO169" s="150"/>
      <c r="AP169" s="150"/>
      <c r="AQ169" s="150"/>
      <c r="AT169" s="186"/>
      <c r="AU169" s="186"/>
      <c r="AV169" s="186"/>
      <c r="AW169" s="186"/>
      <c r="AX169" s="186"/>
      <c r="AY169" s="186"/>
      <c r="AZ169" s="186"/>
      <c r="BA169" s="186"/>
      <c r="BB169" s="186"/>
      <c r="BC169" s="186"/>
      <c r="BD169" s="186"/>
      <c r="BE169" s="186"/>
      <c r="BF169" s="150"/>
      <c r="BG169" s="150"/>
      <c r="BI169"/>
      <c r="BJ169"/>
      <c r="BK169"/>
      <c r="BL169"/>
    </row>
    <row r="170" spans="3:64" ht="14.6">
      <c r="C170" s="289"/>
      <c r="D170" s="150"/>
      <c r="E170" s="150"/>
      <c r="F170" s="150"/>
      <c r="G170" s="150"/>
      <c r="H170" s="150"/>
      <c r="I170" s="150"/>
      <c r="J170" s="150"/>
      <c r="K170" s="150"/>
      <c r="L170" s="150"/>
      <c r="M170" s="150"/>
      <c r="N170" s="150"/>
      <c r="O170" s="150"/>
      <c r="P170" s="150"/>
      <c r="Q170" s="150"/>
      <c r="R170" s="150"/>
      <c r="S170" s="150"/>
      <c r="T170" s="186"/>
      <c r="U170" s="186"/>
      <c r="V170" s="186"/>
      <c r="W170" s="186"/>
      <c r="X170" s="186"/>
      <c r="Y170" s="186"/>
      <c r="Z170" s="186"/>
      <c r="AA170" s="186"/>
      <c r="AB170" s="186"/>
      <c r="AC170" s="186"/>
      <c r="AD170" s="186"/>
      <c r="AF170" s="150"/>
      <c r="AG170" s="150"/>
      <c r="AH170" s="150"/>
      <c r="AI170" s="150"/>
      <c r="AJ170" s="150"/>
      <c r="AK170" s="150"/>
      <c r="AL170" s="150"/>
      <c r="AM170" s="150"/>
      <c r="AN170" s="150"/>
      <c r="AO170" s="150"/>
      <c r="AP170" s="150"/>
      <c r="AQ170" s="150"/>
      <c r="AT170" s="186"/>
      <c r="AU170" s="186"/>
      <c r="AV170" s="186"/>
      <c r="AW170" s="186"/>
      <c r="AX170" s="186"/>
      <c r="AY170" s="186"/>
      <c r="AZ170" s="186"/>
      <c r="BA170" s="186"/>
      <c r="BB170" s="186"/>
      <c r="BC170" s="186"/>
      <c r="BD170" s="186"/>
      <c r="BE170" s="186"/>
      <c r="BF170" s="150"/>
      <c r="BG170" s="150"/>
      <c r="BI170"/>
      <c r="BJ170"/>
      <c r="BK170"/>
      <c r="BL170"/>
    </row>
    <row r="171" spans="3:64" ht="14.6">
      <c r="C171" s="289"/>
      <c r="D171" s="150"/>
      <c r="E171" s="150"/>
      <c r="F171" s="150"/>
      <c r="G171" s="150"/>
      <c r="H171" s="150"/>
      <c r="I171" s="150"/>
      <c r="J171" s="150"/>
      <c r="K171" s="150"/>
      <c r="L171" s="150"/>
      <c r="M171" s="150"/>
      <c r="N171" s="150"/>
      <c r="O171" s="150"/>
      <c r="P171" s="150"/>
      <c r="Q171" s="150"/>
      <c r="R171" s="150"/>
      <c r="S171" s="150"/>
      <c r="T171" s="186"/>
      <c r="U171" s="186"/>
      <c r="V171" s="186"/>
      <c r="W171" s="186"/>
      <c r="X171" s="186"/>
      <c r="Y171" s="186"/>
      <c r="Z171" s="186"/>
      <c r="AA171" s="186"/>
      <c r="AB171" s="186"/>
      <c r="AC171" s="186"/>
      <c r="AD171" s="186"/>
      <c r="AF171" s="150"/>
      <c r="AG171" s="150"/>
      <c r="AH171" s="150"/>
      <c r="AI171" s="150"/>
      <c r="AJ171" s="150"/>
      <c r="AK171" s="150"/>
      <c r="AL171" s="150"/>
      <c r="AM171" s="150"/>
      <c r="AN171" s="150"/>
      <c r="AO171" s="150"/>
      <c r="AP171" s="150"/>
      <c r="AQ171" s="150"/>
      <c r="AT171" s="186"/>
      <c r="AU171" s="186"/>
      <c r="AV171" s="186"/>
      <c r="AW171" s="186"/>
      <c r="AX171" s="186"/>
      <c r="AY171" s="186"/>
      <c r="AZ171" s="186"/>
      <c r="BA171" s="186"/>
      <c r="BB171" s="186"/>
      <c r="BC171" s="186"/>
      <c r="BD171" s="186"/>
      <c r="BE171" s="186"/>
      <c r="BF171" s="150"/>
      <c r="BG171" s="150"/>
      <c r="BI171"/>
      <c r="BJ171"/>
      <c r="BK171"/>
      <c r="BL171"/>
    </row>
    <row r="172" spans="3:64" ht="14.6">
      <c r="C172" s="289"/>
      <c r="D172" s="150"/>
      <c r="E172" s="150"/>
      <c r="F172" s="150"/>
      <c r="G172" s="150"/>
      <c r="H172" s="150"/>
      <c r="I172" s="150"/>
      <c r="J172" s="150"/>
      <c r="K172" s="150"/>
      <c r="L172" s="150"/>
      <c r="M172" s="150"/>
      <c r="N172" s="150"/>
      <c r="O172" s="150"/>
      <c r="P172" s="150"/>
      <c r="Q172" s="150"/>
      <c r="R172" s="150"/>
      <c r="S172" s="150"/>
      <c r="T172" s="186"/>
      <c r="U172" s="186"/>
      <c r="V172" s="186"/>
      <c r="W172" s="186"/>
      <c r="X172" s="186"/>
      <c r="Y172" s="186"/>
      <c r="Z172" s="186"/>
      <c r="AA172" s="186"/>
      <c r="AB172" s="186"/>
      <c r="AC172" s="186"/>
      <c r="AD172" s="186"/>
      <c r="AF172" s="150"/>
      <c r="AG172" s="150"/>
      <c r="AH172" s="150"/>
      <c r="AI172" s="150"/>
      <c r="AJ172" s="150"/>
      <c r="AK172" s="150"/>
      <c r="AL172" s="150"/>
      <c r="AM172" s="150"/>
      <c r="AN172" s="150"/>
      <c r="AO172" s="150"/>
      <c r="AP172" s="150"/>
      <c r="AQ172" s="150"/>
      <c r="AT172" s="186"/>
      <c r="AU172" s="186"/>
      <c r="AV172" s="186"/>
      <c r="AW172" s="186"/>
      <c r="AX172" s="186"/>
      <c r="AY172" s="186"/>
      <c r="AZ172" s="186"/>
      <c r="BA172" s="186"/>
      <c r="BB172" s="186"/>
      <c r="BC172" s="186"/>
      <c r="BD172" s="186"/>
      <c r="BE172" s="186"/>
      <c r="BF172" s="150"/>
      <c r="BG172" s="150"/>
      <c r="BI172"/>
      <c r="BJ172"/>
      <c r="BK172"/>
      <c r="BL172"/>
    </row>
    <row r="173" spans="3:64" ht="14.6">
      <c r="C173" s="289"/>
      <c r="D173" s="150"/>
      <c r="E173" s="150"/>
      <c r="F173" s="150"/>
      <c r="G173" s="150"/>
      <c r="H173" s="150"/>
      <c r="I173" s="150"/>
      <c r="J173" s="150"/>
      <c r="K173" s="150"/>
      <c r="L173" s="150"/>
      <c r="M173" s="150"/>
      <c r="N173" s="150"/>
      <c r="O173" s="150"/>
      <c r="P173" s="150"/>
      <c r="Q173" s="150"/>
      <c r="R173" s="150"/>
      <c r="S173" s="150"/>
      <c r="T173" s="186"/>
      <c r="U173" s="186"/>
      <c r="V173" s="186"/>
      <c r="W173" s="186"/>
      <c r="X173" s="186"/>
      <c r="Y173" s="186"/>
      <c r="Z173" s="186"/>
      <c r="AA173" s="186"/>
      <c r="AB173" s="186"/>
      <c r="AC173" s="186"/>
      <c r="AD173" s="186"/>
      <c r="AF173" s="150"/>
      <c r="AG173" s="150"/>
      <c r="AH173" s="150"/>
      <c r="AI173" s="150"/>
      <c r="AJ173" s="150"/>
      <c r="AK173" s="150"/>
      <c r="AL173" s="150"/>
      <c r="AM173" s="150"/>
      <c r="AN173" s="150"/>
      <c r="AO173" s="150"/>
      <c r="AP173" s="150"/>
      <c r="AQ173" s="150"/>
      <c r="AT173" s="186"/>
      <c r="AU173" s="186"/>
      <c r="AV173" s="186"/>
      <c r="AW173" s="186"/>
      <c r="AX173" s="186"/>
      <c r="AY173" s="186"/>
      <c r="AZ173" s="186"/>
      <c r="BA173" s="186"/>
      <c r="BB173" s="186"/>
      <c r="BC173" s="186"/>
      <c r="BD173" s="186"/>
      <c r="BE173" s="186"/>
      <c r="BF173" s="150"/>
      <c r="BG173" s="150"/>
      <c r="BI173"/>
      <c r="BJ173"/>
      <c r="BK173"/>
      <c r="BL173"/>
    </row>
    <row r="174" spans="3:64" ht="14.6">
      <c r="C174" s="289"/>
      <c r="D174" s="150"/>
      <c r="E174" s="150"/>
      <c r="F174" s="150"/>
      <c r="G174" s="150"/>
      <c r="H174" s="150"/>
      <c r="I174" s="150"/>
      <c r="J174" s="150"/>
      <c r="K174" s="150"/>
      <c r="L174" s="150"/>
      <c r="M174" s="150"/>
      <c r="N174" s="150"/>
      <c r="O174" s="150"/>
      <c r="P174" s="150"/>
      <c r="Q174" s="150"/>
      <c r="R174" s="150"/>
      <c r="S174" s="150"/>
      <c r="T174" s="186"/>
      <c r="U174" s="186"/>
      <c r="V174" s="186"/>
      <c r="W174" s="186"/>
      <c r="X174" s="186"/>
      <c r="Y174" s="186"/>
      <c r="Z174" s="186"/>
      <c r="AA174" s="186"/>
      <c r="AB174" s="186"/>
      <c r="AC174" s="186"/>
      <c r="AD174" s="186"/>
      <c r="AF174" s="150"/>
      <c r="AG174" s="150"/>
      <c r="AH174" s="150"/>
      <c r="AI174" s="150"/>
      <c r="AJ174" s="150"/>
      <c r="AK174" s="150"/>
      <c r="AL174" s="150"/>
      <c r="AM174" s="150"/>
      <c r="AN174" s="150"/>
      <c r="AO174" s="150"/>
      <c r="AP174" s="150"/>
      <c r="AQ174" s="150"/>
      <c r="AT174" s="186"/>
      <c r="AU174" s="186"/>
      <c r="AV174" s="186"/>
      <c r="AW174" s="186"/>
      <c r="AX174" s="186"/>
      <c r="AY174" s="186"/>
      <c r="AZ174" s="186"/>
      <c r="BA174" s="186"/>
      <c r="BB174" s="186"/>
      <c r="BC174" s="186"/>
      <c r="BD174" s="186"/>
      <c r="BE174" s="186"/>
      <c r="BF174" s="150"/>
      <c r="BG174" s="150"/>
      <c r="BI174"/>
      <c r="BJ174"/>
      <c r="BK174"/>
      <c r="BL174"/>
    </row>
    <row r="175" spans="3:64" ht="14.6">
      <c r="C175" s="289"/>
      <c r="D175" s="150"/>
      <c r="E175" s="150"/>
      <c r="F175" s="150"/>
      <c r="G175" s="150"/>
      <c r="H175" s="150"/>
      <c r="I175" s="150"/>
      <c r="J175" s="150"/>
      <c r="K175" s="150"/>
      <c r="L175" s="150"/>
      <c r="M175" s="150"/>
      <c r="N175" s="150"/>
      <c r="O175" s="150"/>
      <c r="P175" s="150"/>
      <c r="Q175" s="150"/>
      <c r="R175" s="150"/>
      <c r="S175" s="150"/>
      <c r="T175" s="186"/>
      <c r="U175" s="186"/>
      <c r="V175" s="186"/>
      <c r="W175" s="186"/>
      <c r="X175" s="186"/>
      <c r="Y175" s="186"/>
      <c r="Z175" s="186"/>
      <c r="AA175" s="186"/>
      <c r="AB175" s="186"/>
      <c r="AC175" s="186"/>
      <c r="AD175" s="186"/>
      <c r="AF175" s="150"/>
      <c r="AG175" s="150"/>
      <c r="AH175" s="150"/>
      <c r="AI175" s="150"/>
      <c r="AJ175" s="150"/>
      <c r="AK175" s="150"/>
      <c r="AL175" s="150"/>
      <c r="AM175" s="150"/>
      <c r="AN175" s="150"/>
      <c r="AO175" s="150"/>
      <c r="AP175" s="150"/>
      <c r="AQ175" s="150"/>
      <c r="AT175" s="186"/>
      <c r="AU175" s="186"/>
      <c r="AV175" s="186"/>
      <c r="AW175" s="186"/>
      <c r="AX175" s="186"/>
      <c r="AY175" s="186"/>
      <c r="AZ175" s="186"/>
      <c r="BA175" s="186"/>
      <c r="BB175" s="186"/>
      <c r="BC175" s="186"/>
      <c r="BD175" s="186"/>
      <c r="BE175" s="186"/>
      <c r="BF175" s="150"/>
      <c r="BG175" s="150"/>
      <c r="BI175"/>
      <c r="BJ175"/>
      <c r="BK175"/>
      <c r="BL175"/>
    </row>
    <row r="176" spans="3:64" ht="14.6">
      <c r="C176" s="289"/>
      <c r="D176" s="150"/>
      <c r="E176" s="150"/>
      <c r="F176" s="150"/>
      <c r="G176" s="150"/>
      <c r="H176" s="150"/>
      <c r="I176" s="150"/>
      <c r="J176" s="150"/>
      <c r="K176" s="150"/>
      <c r="L176" s="150"/>
      <c r="M176" s="150"/>
      <c r="N176" s="150"/>
      <c r="O176" s="150"/>
      <c r="P176" s="150"/>
      <c r="Q176" s="150"/>
      <c r="R176" s="150"/>
      <c r="S176" s="150"/>
      <c r="T176" s="186"/>
      <c r="U176" s="186"/>
      <c r="V176" s="186"/>
      <c r="W176" s="186"/>
      <c r="X176" s="186"/>
      <c r="Y176" s="186"/>
      <c r="Z176" s="186"/>
      <c r="AA176" s="186"/>
      <c r="AB176" s="186"/>
      <c r="AC176" s="186"/>
      <c r="AD176" s="186"/>
      <c r="AF176" s="150"/>
      <c r="AG176" s="150"/>
      <c r="AH176" s="150"/>
      <c r="AI176" s="150"/>
      <c r="AJ176" s="150"/>
      <c r="AK176" s="150"/>
      <c r="AL176" s="150"/>
      <c r="AM176" s="150"/>
      <c r="AN176" s="150"/>
      <c r="AO176" s="150"/>
      <c r="AP176" s="150"/>
      <c r="AQ176" s="150"/>
      <c r="AT176" s="186"/>
      <c r="AU176" s="186"/>
      <c r="AV176" s="186"/>
      <c r="AW176" s="186"/>
      <c r="AX176" s="186"/>
      <c r="AY176" s="186"/>
      <c r="AZ176" s="186"/>
      <c r="BA176" s="186"/>
      <c r="BB176" s="186"/>
      <c r="BC176" s="186"/>
      <c r="BD176" s="186"/>
      <c r="BE176" s="186"/>
      <c r="BF176" s="150"/>
      <c r="BG176" s="150"/>
      <c r="BI176"/>
      <c r="BJ176"/>
      <c r="BK176"/>
      <c r="BL176"/>
    </row>
    <row r="177" spans="3:64" ht="14.6">
      <c r="C177" s="289"/>
      <c r="D177" s="150"/>
      <c r="E177" s="150"/>
      <c r="F177" s="150"/>
      <c r="G177" s="150"/>
      <c r="H177" s="150"/>
      <c r="I177" s="150"/>
      <c r="J177" s="150"/>
      <c r="K177" s="150"/>
      <c r="L177" s="150"/>
      <c r="M177" s="150"/>
      <c r="N177" s="150"/>
      <c r="O177" s="150"/>
      <c r="P177" s="150"/>
      <c r="Q177" s="150"/>
      <c r="R177" s="150"/>
      <c r="S177" s="150"/>
      <c r="T177" s="186"/>
      <c r="U177" s="186"/>
      <c r="V177" s="186"/>
      <c r="W177" s="186"/>
      <c r="X177" s="186"/>
      <c r="Y177" s="186"/>
      <c r="Z177" s="186"/>
      <c r="AA177" s="186"/>
      <c r="AB177" s="186"/>
      <c r="AC177" s="186"/>
      <c r="AD177" s="186"/>
      <c r="AF177" s="150"/>
      <c r="AG177" s="150"/>
      <c r="AH177" s="150"/>
      <c r="AI177" s="150"/>
      <c r="AJ177" s="150"/>
      <c r="AK177" s="150"/>
      <c r="AL177" s="150"/>
      <c r="AM177" s="150"/>
      <c r="AN177" s="150"/>
      <c r="AO177" s="150"/>
      <c r="AP177" s="150"/>
      <c r="AQ177" s="150"/>
      <c r="AT177" s="186"/>
      <c r="AU177" s="186"/>
      <c r="AV177" s="186"/>
      <c r="AW177" s="186"/>
      <c r="AX177" s="186"/>
      <c r="AY177" s="186"/>
      <c r="AZ177" s="186"/>
      <c r="BA177" s="186"/>
      <c r="BB177" s="186"/>
      <c r="BC177" s="186"/>
      <c r="BD177" s="186"/>
      <c r="BE177" s="186"/>
      <c r="BF177" s="150"/>
      <c r="BG177" s="150"/>
      <c r="BI177"/>
      <c r="BJ177"/>
      <c r="BK177"/>
      <c r="BL177"/>
    </row>
    <row r="178" spans="3:64" ht="14.6">
      <c r="C178" s="289"/>
      <c r="D178" s="150"/>
      <c r="E178" s="150"/>
      <c r="F178" s="150"/>
      <c r="G178" s="150"/>
      <c r="H178" s="150"/>
      <c r="I178" s="150"/>
      <c r="J178" s="150"/>
      <c r="K178" s="150"/>
      <c r="L178" s="150"/>
      <c r="M178" s="150"/>
      <c r="N178" s="150"/>
      <c r="O178" s="150"/>
      <c r="P178" s="150"/>
      <c r="Q178" s="150"/>
      <c r="R178" s="150"/>
      <c r="S178" s="150"/>
      <c r="T178" s="186"/>
      <c r="U178" s="186"/>
      <c r="V178" s="186"/>
      <c r="W178" s="186"/>
      <c r="X178" s="186"/>
      <c r="Y178" s="186"/>
      <c r="Z178" s="186"/>
      <c r="AA178" s="186"/>
      <c r="AB178" s="186"/>
      <c r="AC178" s="186"/>
      <c r="AD178" s="186"/>
      <c r="AF178" s="150"/>
      <c r="AG178" s="150"/>
      <c r="AH178" s="150"/>
      <c r="AI178" s="150"/>
      <c r="AJ178" s="150"/>
      <c r="AK178" s="150"/>
      <c r="AL178" s="150"/>
      <c r="AM178" s="150"/>
      <c r="AN178" s="150"/>
      <c r="AO178" s="150"/>
      <c r="AP178" s="150"/>
      <c r="AQ178" s="150"/>
      <c r="AT178" s="186"/>
      <c r="AU178" s="186"/>
      <c r="AV178" s="186"/>
      <c r="AW178" s="186"/>
      <c r="AX178" s="186"/>
      <c r="AY178" s="186"/>
      <c r="AZ178" s="186"/>
      <c r="BA178" s="186"/>
      <c r="BB178" s="186"/>
      <c r="BC178" s="186"/>
      <c r="BD178" s="186"/>
      <c r="BE178" s="186"/>
      <c r="BF178" s="150"/>
      <c r="BG178" s="150"/>
      <c r="BI178"/>
      <c r="BJ178"/>
      <c r="BK178"/>
      <c r="BL178"/>
    </row>
    <row r="179" spans="3:64" ht="14.6">
      <c r="C179" s="289"/>
      <c r="D179" s="150"/>
      <c r="E179" s="150"/>
      <c r="F179" s="150"/>
      <c r="G179" s="150"/>
      <c r="H179" s="150"/>
      <c r="I179" s="150"/>
      <c r="J179" s="150"/>
      <c r="K179" s="150"/>
      <c r="L179" s="150"/>
      <c r="M179" s="150"/>
      <c r="N179" s="150"/>
      <c r="O179" s="150"/>
      <c r="P179" s="150"/>
      <c r="Q179" s="150"/>
      <c r="R179" s="150"/>
      <c r="S179" s="150"/>
      <c r="T179" s="186"/>
      <c r="U179" s="186"/>
      <c r="V179" s="186"/>
      <c r="W179" s="186"/>
      <c r="X179" s="186"/>
      <c r="Y179" s="186"/>
      <c r="Z179" s="186"/>
      <c r="AA179" s="186"/>
      <c r="AB179" s="186"/>
      <c r="AC179" s="186"/>
      <c r="AD179" s="186"/>
      <c r="AF179" s="150"/>
      <c r="AG179" s="150"/>
      <c r="AH179" s="150"/>
      <c r="AI179" s="150"/>
      <c r="AJ179" s="150"/>
      <c r="AK179" s="150"/>
      <c r="AL179" s="150"/>
      <c r="AM179" s="150"/>
      <c r="AN179" s="150"/>
      <c r="AO179" s="150"/>
      <c r="AP179" s="150"/>
      <c r="AQ179" s="150"/>
      <c r="AT179" s="186"/>
      <c r="AU179" s="186"/>
      <c r="AV179" s="186"/>
      <c r="AW179" s="186"/>
      <c r="AX179" s="186"/>
      <c r="AY179" s="186"/>
      <c r="AZ179" s="186"/>
      <c r="BA179" s="186"/>
      <c r="BB179" s="186"/>
      <c r="BC179" s="186"/>
      <c r="BD179" s="186"/>
      <c r="BE179" s="186"/>
      <c r="BF179" s="150"/>
      <c r="BG179" s="150"/>
      <c r="BI179"/>
      <c r="BJ179"/>
      <c r="BK179"/>
      <c r="BL179"/>
    </row>
    <row r="180" spans="3:64" ht="14.6">
      <c r="C180" s="289"/>
      <c r="D180" s="150"/>
      <c r="E180" s="150"/>
      <c r="F180" s="150"/>
      <c r="G180" s="150"/>
      <c r="H180" s="150"/>
      <c r="I180" s="150"/>
      <c r="J180" s="150"/>
      <c r="K180" s="150"/>
      <c r="L180" s="150"/>
      <c r="M180" s="150"/>
      <c r="N180" s="150"/>
      <c r="O180" s="150"/>
      <c r="P180" s="150"/>
      <c r="Q180" s="150"/>
      <c r="R180" s="150"/>
      <c r="S180" s="150"/>
      <c r="T180" s="186"/>
      <c r="U180" s="186"/>
      <c r="V180" s="186"/>
      <c r="W180" s="186"/>
      <c r="X180" s="186"/>
      <c r="Y180" s="186"/>
      <c r="Z180" s="186"/>
      <c r="AA180" s="186"/>
      <c r="AB180" s="186"/>
      <c r="AC180" s="186"/>
      <c r="AD180" s="186"/>
      <c r="AF180" s="150"/>
      <c r="AG180" s="150"/>
      <c r="AH180" s="150"/>
      <c r="AI180" s="150"/>
      <c r="AJ180" s="150"/>
      <c r="AK180" s="150"/>
      <c r="AL180" s="150"/>
      <c r="AM180" s="150"/>
      <c r="AN180" s="150"/>
      <c r="AO180" s="150"/>
      <c r="AP180" s="150"/>
      <c r="AQ180" s="150"/>
      <c r="AT180" s="186"/>
      <c r="AU180" s="186"/>
      <c r="AV180" s="186"/>
      <c r="AW180" s="186"/>
      <c r="AX180" s="186"/>
      <c r="AY180" s="186"/>
      <c r="AZ180" s="186"/>
      <c r="BA180" s="186"/>
      <c r="BB180" s="186"/>
      <c r="BC180" s="186"/>
      <c r="BD180" s="186"/>
      <c r="BE180" s="186"/>
      <c r="BF180" s="150"/>
      <c r="BG180" s="150"/>
      <c r="BI180"/>
      <c r="BJ180"/>
      <c r="BK180"/>
      <c r="BL180"/>
    </row>
    <row r="181" spans="3:64" ht="14.6">
      <c r="C181" s="289"/>
      <c r="D181" s="150"/>
      <c r="E181" s="150"/>
      <c r="F181" s="150"/>
      <c r="G181" s="150"/>
      <c r="H181" s="150"/>
      <c r="I181" s="150"/>
      <c r="J181" s="150"/>
      <c r="K181" s="150"/>
      <c r="L181" s="150"/>
      <c r="M181" s="150"/>
      <c r="N181" s="150"/>
      <c r="O181" s="150"/>
      <c r="P181" s="150"/>
      <c r="Q181" s="150"/>
      <c r="R181" s="150"/>
      <c r="S181" s="150"/>
      <c r="T181" s="186"/>
      <c r="U181" s="186"/>
      <c r="V181" s="186"/>
      <c r="W181" s="186"/>
      <c r="X181" s="186"/>
      <c r="Y181" s="186"/>
      <c r="Z181" s="186"/>
      <c r="AA181" s="186"/>
      <c r="AB181" s="186"/>
      <c r="AC181" s="186"/>
      <c r="AD181" s="186"/>
      <c r="AF181" s="150"/>
      <c r="AG181" s="150"/>
      <c r="AH181" s="150"/>
      <c r="AI181" s="150"/>
      <c r="AJ181" s="150"/>
      <c r="AK181" s="150"/>
      <c r="AL181" s="150"/>
      <c r="AM181" s="150"/>
      <c r="AN181" s="150"/>
      <c r="AO181" s="150"/>
      <c r="AP181" s="150"/>
      <c r="AQ181" s="150"/>
      <c r="AT181" s="186"/>
      <c r="AU181" s="186"/>
      <c r="AV181" s="186"/>
      <c r="AW181" s="186"/>
      <c r="AX181" s="186"/>
      <c r="AY181" s="186"/>
      <c r="AZ181" s="186"/>
      <c r="BA181" s="186"/>
      <c r="BB181" s="186"/>
      <c r="BC181" s="186"/>
      <c r="BD181" s="186"/>
      <c r="BE181" s="186"/>
      <c r="BF181" s="150"/>
      <c r="BG181" s="150"/>
      <c r="BI181"/>
      <c r="BJ181"/>
      <c r="BK181"/>
      <c r="BL181"/>
    </row>
    <row r="182" spans="3:64" ht="14.6">
      <c r="C182" s="289"/>
      <c r="D182" s="150"/>
      <c r="E182" s="150"/>
      <c r="F182" s="150"/>
      <c r="G182" s="150"/>
      <c r="H182" s="150"/>
      <c r="I182" s="150"/>
      <c r="J182" s="150"/>
      <c r="K182" s="150"/>
      <c r="L182" s="150"/>
      <c r="M182" s="150"/>
      <c r="N182" s="150"/>
      <c r="O182" s="150"/>
      <c r="P182" s="150"/>
      <c r="Q182" s="150"/>
      <c r="R182" s="150"/>
      <c r="S182" s="150"/>
      <c r="T182" s="186"/>
      <c r="U182" s="186"/>
      <c r="V182" s="186"/>
      <c r="W182" s="186"/>
      <c r="X182" s="186"/>
      <c r="Y182" s="186"/>
      <c r="Z182" s="186"/>
      <c r="AA182" s="186"/>
      <c r="AB182" s="186"/>
      <c r="AC182" s="186"/>
      <c r="AD182" s="186"/>
      <c r="AF182" s="150"/>
      <c r="AG182" s="150"/>
      <c r="AH182" s="150"/>
      <c r="AI182" s="150"/>
      <c r="AJ182" s="150"/>
      <c r="AK182" s="150"/>
      <c r="AL182" s="150"/>
      <c r="AM182" s="150"/>
      <c r="AN182" s="150"/>
      <c r="AO182" s="150"/>
      <c r="AP182" s="150"/>
      <c r="AQ182" s="150"/>
      <c r="AT182" s="186"/>
      <c r="AU182" s="186"/>
      <c r="AV182" s="186"/>
      <c r="AW182" s="186"/>
      <c r="AX182" s="186"/>
      <c r="AY182" s="186"/>
      <c r="AZ182" s="186"/>
      <c r="BA182" s="186"/>
      <c r="BB182" s="186"/>
      <c r="BC182" s="186"/>
      <c r="BD182" s="186"/>
      <c r="BE182" s="186"/>
      <c r="BF182" s="150"/>
      <c r="BG182" s="150"/>
      <c r="BI182"/>
      <c r="BJ182"/>
      <c r="BK182"/>
      <c r="BL182"/>
    </row>
    <row r="183" spans="3:64" ht="14.6">
      <c r="C183" s="289"/>
      <c r="D183" s="150"/>
      <c r="E183" s="150"/>
      <c r="F183" s="150"/>
      <c r="G183" s="150"/>
      <c r="H183" s="150"/>
      <c r="I183" s="150"/>
      <c r="J183" s="150"/>
      <c r="K183" s="150"/>
      <c r="L183" s="150"/>
      <c r="M183" s="150"/>
      <c r="N183" s="150"/>
      <c r="O183" s="150"/>
      <c r="P183" s="150"/>
      <c r="Q183" s="150"/>
      <c r="R183" s="150"/>
      <c r="S183" s="150"/>
      <c r="T183" s="186"/>
      <c r="U183" s="186"/>
      <c r="V183" s="186"/>
      <c r="W183" s="186"/>
      <c r="X183" s="186"/>
      <c r="Y183" s="186"/>
      <c r="Z183" s="186"/>
      <c r="AA183" s="186"/>
      <c r="AB183" s="186"/>
      <c r="AC183" s="186"/>
      <c r="AD183" s="186"/>
      <c r="AF183" s="150"/>
      <c r="AG183" s="150"/>
      <c r="AH183" s="150"/>
      <c r="AI183" s="150"/>
      <c r="AJ183" s="150"/>
      <c r="AK183" s="150"/>
      <c r="AL183" s="150"/>
      <c r="AM183" s="150"/>
      <c r="AN183" s="150"/>
      <c r="AO183" s="150"/>
      <c r="AP183" s="150"/>
      <c r="AQ183" s="150"/>
      <c r="AT183" s="186"/>
      <c r="AU183" s="186"/>
      <c r="AV183" s="186"/>
      <c r="AW183" s="186"/>
      <c r="AX183" s="186"/>
      <c r="AY183" s="186"/>
      <c r="AZ183" s="186"/>
      <c r="BA183" s="186"/>
      <c r="BB183" s="186"/>
      <c r="BC183" s="186"/>
      <c r="BD183" s="186"/>
      <c r="BE183" s="186"/>
      <c r="BF183" s="150"/>
      <c r="BG183" s="150"/>
      <c r="BI183"/>
      <c r="BJ183"/>
      <c r="BK183"/>
      <c r="BL183"/>
    </row>
    <row r="184" spans="3:64" ht="14.6">
      <c r="C184" s="289"/>
      <c r="D184" s="150"/>
      <c r="E184" s="150"/>
      <c r="F184" s="150"/>
      <c r="G184" s="150"/>
      <c r="H184" s="150"/>
      <c r="I184" s="150"/>
      <c r="J184" s="150"/>
      <c r="K184" s="150"/>
      <c r="L184" s="150"/>
      <c r="M184" s="150"/>
      <c r="N184" s="150"/>
      <c r="O184" s="150"/>
      <c r="P184" s="150"/>
      <c r="Q184" s="150"/>
      <c r="R184" s="150"/>
      <c r="S184" s="150"/>
      <c r="T184" s="186"/>
      <c r="U184" s="186"/>
      <c r="V184" s="186"/>
      <c r="W184" s="186"/>
      <c r="X184" s="186"/>
      <c r="Y184" s="186"/>
      <c r="Z184" s="186"/>
      <c r="AA184" s="186"/>
      <c r="AB184" s="186"/>
      <c r="AC184" s="186"/>
      <c r="AD184" s="186"/>
      <c r="AF184" s="150"/>
      <c r="AG184" s="150"/>
      <c r="AH184" s="150"/>
      <c r="AI184" s="150"/>
      <c r="AJ184" s="150"/>
      <c r="AK184" s="150"/>
      <c r="AL184" s="150"/>
      <c r="AM184" s="150"/>
      <c r="AN184" s="150"/>
      <c r="AO184" s="150"/>
      <c r="AP184" s="150"/>
      <c r="AQ184" s="150"/>
      <c r="AT184" s="186"/>
      <c r="AU184" s="186"/>
      <c r="AV184" s="186"/>
      <c r="AW184" s="186"/>
      <c r="AX184" s="186"/>
      <c r="AY184" s="186"/>
      <c r="AZ184" s="186"/>
      <c r="BA184" s="186"/>
      <c r="BB184" s="186"/>
      <c r="BC184" s="186"/>
      <c r="BD184" s="186"/>
      <c r="BE184" s="186"/>
      <c r="BF184" s="150"/>
      <c r="BG184" s="150"/>
      <c r="BI184"/>
      <c r="BJ184"/>
      <c r="BK184"/>
      <c r="BL184"/>
    </row>
    <row r="185" spans="3:64" ht="14.6">
      <c r="C185" s="289"/>
      <c r="D185" s="150"/>
      <c r="E185" s="150"/>
      <c r="F185" s="150"/>
      <c r="G185" s="150"/>
      <c r="H185" s="150"/>
      <c r="I185" s="150"/>
      <c r="J185" s="150"/>
      <c r="K185" s="150"/>
      <c r="L185" s="150"/>
      <c r="M185" s="150"/>
      <c r="N185" s="150"/>
      <c r="O185" s="150"/>
      <c r="P185" s="150"/>
      <c r="Q185" s="150"/>
      <c r="R185" s="150"/>
      <c r="S185" s="150"/>
      <c r="T185" s="186"/>
      <c r="U185" s="186"/>
      <c r="V185" s="186"/>
      <c r="W185" s="186"/>
      <c r="X185" s="186"/>
      <c r="Y185" s="186"/>
      <c r="Z185" s="186"/>
      <c r="AA185" s="186"/>
      <c r="AB185" s="186"/>
      <c r="AC185" s="186"/>
      <c r="AD185" s="186"/>
      <c r="AF185" s="150"/>
      <c r="AG185" s="150"/>
      <c r="AH185" s="150"/>
      <c r="AI185" s="150"/>
      <c r="AJ185" s="150"/>
      <c r="AK185" s="150"/>
      <c r="AL185" s="150"/>
      <c r="AM185" s="150"/>
      <c r="AN185" s="150"/>
      <c r="AO185" s="150"/>
      <c r="AP185" s="150"/>
      <c r="AQ185" s="150"/>
      <c r="AT185" s="186"/>
      <c r="AU185" s="186"/>
      <c r="AV185" s="186"/>
      <c r="AW185" s="186"/>
      <c r="AX185" s="186"/>
      <c r="AY185" s="186"/>
      <c r="AZ185" s="186"/>
      <c r="BA185" s="186"/>
      <c r="BB185" s="186"/>
      <c r="BC185" s="186"/>
      <c r="BD185" s="186"/>
      <c r="BE185" s="186"/>
      <c r="BF185" s="150"/>
      <c r="BG185" s="150"/>
      <c r="BI185"/>
      <c r="BJ185"/>
      <c r="BK185"/>
      <c r="BL185"/>
    </row>
    <row r="186" spans="3:64" ht="14.6">
      <c r="C186" s="289"/>
      <c r="D186" s="150"/>
      <c r="E186" s="150"/>
      <c r="F186" s="150"/>
      <c r="G186" s="150"/>
      <c r="H186" s="150"/>
      <c r="I186" s="150"/>
      <c r="J186" s="150"/>
      <c r="K186" s="150"/>
      <c r="L186" s="150"/>
      <c r="M186" s="150"/>
      <c r="N186" s="150"/>
      <c r="O186" s="150"/>
      <c r="P186" s="150"/>
      <c r="Q186" s="150"/>
      <c r="R186" s="150"/>
      <c r="S186" s="150"/>
      <c r="T186" s="186"/>
      <c r="U186" s="186"/>
      <c r="V186" s="186"/>
      <c r="W186" s="186"/>
      <c r="X186" s="186"/>
      <c r="Y186" s="186"/>
      <c r="Z186" s="186"/>
      <c r="AA186" s="186"/>
      <c r="AB186" s="186"/>
      <c r="AC186" s="186"/>
      <c r="AD186" s="186"/>
      <c r="AF186" s="150"/>
      <c r="AG186" s="150"/>
      <c r="AH186" s="150"/>
      <c r="AI186" s="150"/>
      <c r="AJ186" s="150"/>
      <c r="AK186" s="150"/>
      <c r="AL186" s="150"/>
      <c r="AM186" s="150"/>
      <c r="AN186" s="150"/>
      <c r="AO186" s="150"/>
      <c r="AP186" s="150"/>
      <c r="AQ186" s="150"/>
      <c r="AT186" s="186"/>
      <c r="AU186" s="186"/>
      <c r="AV186" s="186"/>
      <c r="AW186" s="186"/>
      <c r="AX186" s="186"/>
      <c r="AY186" s="186"/>
      <c r="AZ186" s="186"/>
      <c r="BA186" s="186"/>
      <c r="BB186" s="186"/>
      <c r="BC186" s="186"/>
      <c r="BD186" s="186"/>
      <c r="BE186" s="186"/>
      <c r="BF186" s="150"/>
      <c r="BG186" s="150"/>
      <c r="BI186"/>
      <c r="BJ186"/>
      <c r="BK186"/>
      <c r="BL186"/>
    </row>
    <row r="187" spans="3:64" ht="14.6">
      <c r="C187" s="289"/>
      <c r="D187" s="150"/>
      <c r="E187" s="150"/>
      <c r="F187" s="150"/>
      <c r="G187" s="150"/>
      <c r="H187" s="150"/>
      <c r="I187" s="150"/>
      <c r="J187" s="150"/>
      <c r="K187" s="150"/>
      <c r="L187" s="150"/>
      <c r="M187" s="150"/>
      <c r="N187" s="150"/>
      <c r="O187" s="150"/>
      <c r="P187" s="150"/>
      <c r="Q187" s="150"/>
      <c r="R187" s="150"/>
      <c r="S187" s="150"/>
      <c r="T187" s="186"/>
      <c r="U187" s="186"/>
      <c r="V187" s="186"/>
      <c r="W187" s="186"/>
      <c r="X187" s="186"/>
      <c r="Y187" s="186"/>
      <c r="Z187" s="186"/>
      <c r="AA187" s="186"/>
      <c r="AB187" s="186"/>
      <c r="AC187" s="186"/>
      <c r="AD187" s="186"/>
      <c r="AF187" s="150"/>
      <c r="AG187" s="150"/>
      <c r="AH187" s="150"/>
      <c r="AI187" s="150"/>
      <c r="AJ187" s="150"/>
      <c r="AK187" s="150"/>
      <c r="AL187" s="150"/>
      <c r="AM187" s="150"/>
      <c r="AN187" s="150"/>
      <c r="AO187" s="150"/>
      <c r="AP187" s="150"/>
      <c r="AQ187" s="150"/>
      <c r="AT187" s="186"/>
      <c r="AU187" s="186"/>
      <c r="AV187" s="186"/>
      <c r="AW187" s="186"/>
      <c r="AX187" s="186"/>
      <c r="AY187" s="186"/>
      <c r="AZ187" s="186"/>
      <c r="BA187" s="186"/>
      <c r="BB187" s="186"/>
      <c r="BC187" s="186"/>
      <c r="BD187" s="186"/>
      <c r="BE187" s="186"/>
      <c r="BF187" s="150"/>
      <c r="BG187" s="150"/>
      <c r="BI187"/>
      <c r="BJ187"/>
      <c r="BK187"/>
      <c r="BL187"/>
    </row>
    <row r="188" spans="3:64" ht="14.6">
      <c r="C188" s="289"/>
      <c r="D188" s="150"/>
      <c r="E188" s="150"/>
      <c r="F188" s="150"/>
      <c r="G188" s="150"/>
      <c r="H188" s="150"/>
      <c r="I188" s="150"/>
      <c r="J188" s="150"/>
      <c r="K188" s="150"/>
      <c r="L188" s="150"/>
      <c r="M188" s="150"/>
      <c r="N188" s="150"/>
      <c r="O188" s="150"/>
      <c r="P188" s="150"/>
      <c r="Q188" s="150"/>
      <c r="R188" s="150"/>
      <c r="S188" s="150"/>
      <c r="T188" s="186"/>
      <c r="U188" s="186"/>
      <c r="V188" s="186"/>
      <c r="W188" s="186"/>
      <c r="X188" s="186"/>
      <c r="Y188" s="186"/>
      <c r="Z188" s="186"/>
      <c r="AA188" s="186"/>
      <c r="AB188" s="186"/>
      <c r="AC188" s="186"/>
      <c r="AD188" s="186"/>
      <c r="AF188" s="150"/>
      <c r="AG188" s="150"/>
      <c r="AH188" s="150"/>
      <c r="AI188" s="150"/>
      <c r="AJ188" s="150"/>
      <c r="AK188" s="150"/>
      <c r="AL188" s="150"/>
      <c r="AM188" s="150"/>
      <c r="AN188" s="150"/>
      <c r="AO188" s="150"/>
      <c r="AP188" s="150"/>
      <c r="AQ188" s="150"/>
      <c r="AT188" s="186"/>
      <c r="AU188" s="186"/>
      <c r="AV188" s="186"/>
      <c r="AW188" s="186"/>
      <c r="AX188" s="186"/>
      <c r="AY188" s="186"/>
      <c r="AZ188" s="186"/>
      <c r="BA188" s="186"/>
      <c r="BB188" s="186"/>
      <c r="BC188" s="186"/>
      <c r="BD188" s="186"/>
      <c r="BE188" s="186"/>
      <c r="BF188" s="150"/>
      <c r="BG188" s="150"/>
      <c r="BI188"/>
      <c r="BJ188"/>
      <c r="BK188"/>
      <c r="BL188"/>
    </row>
    <row r="189" spans="3:64" ht="14.6">
      <c r="C189" s="289"/>
      <c r="D189" s="150"/>
      <c r="E189" s="150"/>
      <c r="F189" s="150"/>
      <c r="G189" s="150"/>
      <c r="H189" s="150"/>
      <c r="I189" s="150"/>
      <c r="J189" s="150"/>
      <c r="K189" s="150"/>
      <c r="L189" s="150"/>
      <c r="M189" s="150"/>
      <c r="N189" s="150"/>
      <c r="O189" s="150"/>
      <c r="P189" s="150"/>
      <c r="Q189" s="150"/>
      <c r="R189" s="150"/>
      <c r="S189" s="150"/>
      <c r="T189" s="186"/>
      <c r="U189" s="186"/>
      <c r="V189" s="186"/>
      <c r="W189" s="186"/>
      <c r="X189" s="186"/>
      <c r="Y189" s="186"/>
      <c r="Z189" s="186"/>
      <c r="AA189" s="186"/>
      <c r="AB189" s="186"/>
      <c r="AC189" s="186"/>
      <c r="AD189" s="186"/>
      <c r="AF189" s="150"/>
      <c r="AG189" s="150"/>
      <c r="AH189" s="150"/>
      <c r="AI189" s="150"/>
      <c r="AJ189" s="150"/>
      <c r="AK189" s="150"/>
      <c r="AL189" s="150"/>
      <c r="AM189" s="150"/>
      <c r="AN189" s="150"/>
      <c r="AO189" s="150"/>
      <c r="AP189" s="150"/>
      <c r="AQ189" s="150"/>
      <c r="AT189" s="186"/>
      <c r="AU189" s="186"/>
      <c r="AV189" s="186"/>
      <c r="AW189" s="186"/>
      <c r="AX189" s="186"/>
      <c r="AY189" s="186"/>
      <c r="AZ189" s="186"/>
      <c r="BA189" s="186"/>
      <c r="BB189" s="186"/>
      <c r="BC189" s="186"/>
      <c r="BD189" s="186"/>
      <c r="BE189" s="186"/>
      <c r="BF189" s="150"/>
      <c r="BG189" s="150"/>
      <c r="BI189"/>
      <c r="BJ189"/>
      <c r="BK189"/>
      <c r="BL189"/>
    </row>
    <row r="190" spans="3:64" ht="14.6">
      <c r="C190" s="289"/>
      <c r="D190" s="150"/>
      <c r="E190" s="150"/>
      <c r="F190" s="150"/>
      <c r="G190" s="150"/>
      <c r="H190" s="150"/>
      <c r="I190" s="150"/>
      <c r="J190" s="150"/>
      <c r="K190" s="150"/>
      <c r="L190" s="150"/>
      <c r="M190" s="150"/>
      <c r="N190" s="150"/>
      <c r="O190" s="150"/>
      <c r="P190" s="150"/>
      <c r="Q190" s="150"/>
      <c r="R190" s="150"/>
      <c r="S190" s="150"/>
      <c r="T190" s="186"/>
      <c r="U190" s="186"/>
      <c r="V190" s="186"/>
      <c r="W190" s="186"/>
      <c r="X190" s="186"/>
      <c r="Y190" s="186"/>
      <c r="Z190" s="186"/>
      <c r="AA190" s="186"/>
      <c r="AB190" s="186"/>
      <c r="AC190" s="186"/>
      <c r="AD190" s="186"/>
      <c r="AF190" s="150"/>
      <c r="AG190" s="150"/>
      <c r="AH190" s="150"/>
      <c r="AI190" s="150"/>
      <c r="AJ190" s="150"/>
      <c r="AK190" s="150"/>
      <c r="AL190" s="150"/>
      <c r="AM190" s="150"/>
      <c r="AN190" s="150"/>
      <c r="AO190" s="150"/>
      <c r="AP190" s="150"/>
      <c r="AQ190" s="150"/>
      <c r="AT190" s="186"/>
      <c r="AU190" s="186"/>
      <c r="AV190" s="186"/>
      <c r="AW190" s="186"/>
      <c r="AX190" s="186"/>
      <c r="AY190" s="186"/>
      <c r="AZ190" s="186"/>
      <c r="BA190" s="186"/>
      <c r="BB190" s="186"/>
      <c r="BC190" s="186"/>
      <c r="BD190" s="186"/>
      <c r="BE190" s="186"/>
      <c r="BF190" s="150"/>
      <c r="BG190" s="150"/>
      <c r="BI190"/>
      <c r="BJ190"/>
      <c r="BK190"/>
      <c r="BL190"/>
    </row>
    <row r="191" spans="3:64" ht="14.6">
      <c r="C191" s="289"/>
      <c r="D191" s="150"/>
      <c r="E191" s="150"/>
      <c r="F191" s="150"/>
      <c r="G191" s="150"/>
      <c r="H191" s="150"/>
      <c r="I191" s="150"/>
      <c r="J191" s="150"/>
      <c r="K191" s="150"/>
      <c r="L191" s="150"/>
      <c r="M191" s="150"/>
      <c r="N191" s="150"/>
      <c r="O191" s="150"/>
      <c r="P191" s="150"/>
      <c r="Q191" s="150"/>
      <c r="R191" s="150"/>
      <c r="S191" s="150"/>
      <c r="T191" s="186"/>
      <c r="U191" s="186"/>
      <c r="V191" s="186"/>
      <c r="W191" s="186"/>
      <c r="X191" s="186"/>
      <c r="Y191" s="186"/>
      <c r="Z191" s="186"/>
      <c r="AA191" s="186"/>
      <c r="AB191" s="186"/>
      <c r="AC191" s="186"/>
      <c r="AD191" s="186"/>
      <c r="AF191" s="150"/>
      <c r="AG191" s="150"/>
      <c r="AH191" s="150"/>
      <c r="AI191" s="150"/>
      <c r="AJ191" s="150"/>
      <c r="AK191" s="150"/>
      <c r="AL191" s="150"/>
      <c r="AM191" s="150"/>
      <c r="AN191" s="150"/>
      <c r="AO191" s="150"/>
      <c r="AP191" s="150"/>
      <c r="AQ191" s="150"/>
      <c r="AT191" s="186"/>
      <c r="AU191" s="186"/>
      <c r="AV191" s="186"/>
      <c r="AW191" s="186"/>
      <c r="AX191" s="186"/>
      <c r="AY191" s="186"/>
      <c r="AZ191" s="186"/>
      <c r="BA191" s="186"/>
      <c r="BB191" s="186"/>
      <c r="BC191" s="186"/>
      <c r="BD191" s="186"/>
      <c r="BE191" s="186"/>
      <c r="BF191" s="150"/>
      <c r="BG191" s="150"/>
      <c r="BI191"/>
      <c r="BJ191"/>
      <c r="BK191"/>
      <c r="BL191"/>
    </row>
    <row r="192" spans="3:64" ht="14.6">
      <c r="C192" s="289"/>
      <c r="D192" s="150"/>
      <c r="E192" s="150"/>
      <c r="F192" s="150"/>
      <c r="G192" s="150"/>
      <c r="H192" s="150"/>
      <c r="I192" s="150"/>
      <c r="J192" s="150"/>
      <c r="K192" s="150"/>
      <c r="L192" s="150"/>
      <c r="M192" s="150"/>
      <c r="N192" s="150"/>
      <c r="O192" s="150"/>
      <c r="P192" s="150"/>
      <c r="Q192" s="150"/>
      <c r="R192" s="150"/>
      <c r="S192" s="150"/>
      <c r="T192" s="186"/>
      <c r="U192" s="186"/>
      <c r="V192" s="186"/>
      <c r="W192" s="186"/>
      <c r="X192" s="186"/>
      <c r="Y192" s="186"/>
      <c r="Z192" s="186"/>
      <c r="AA192" s="186"/>
      <c r="AB192" s="186"/>
      <c r="AC192" s="186"/>
      <c r="AD192" s="186"/>
      <c r="AF192" s="150"/>
      <c r="AG192" s="150"/>
      <c r="AH192" s="150"/>
      <c r="AI192" s="150"/>
      <c r="AJ192" s="150"/>
      <c r="AK192" s="150"/>
      <c r="AL192" s="150"/>
      <c r="AM192" s="150"/>
      <c r="AN192" s="150"/>
      <c r="AO192" s="150"/>
      <c r="AP192" s="150"/>
      <c r="AQ192" s="150"/>
      <c r="AT192" s="186"/>
      <c r="AU192" s="186"/>
      <c r="AV192" s="186"/>
      <c r="AW192" s="186"/>
      <c r="AX192" s="186"/>
      <c r="AY192" s="186"/>
      <c r="AZ192" s="186"/>
      <c r="BA192" s="186"/>
      <c r="BB192" s="186"/>
      <c r="BC192" s="186"/>
      <c r="BD192" s="186"/>
      <c r="BE192" s="186"/>
      <c r="BF192" s="150"/>
      <c r="BG192" s="150"/>
      <c r="BI192"/>
      <c r="BJ192"/>
      <c r="BK192"/>
      <c r="BL192"/>
    </row>
    <row r="193" spans="3:64" ht="14.6">
      <c r="C193" s="289"/>
      <c r="D193" s="150"/>
      <c r="E193" s="150"/>
      <c r="F193" s="150"/>
      <c r="G193" s="150"/>
      <c r="H193" s="150"/>
      <c r="I193" s="150"/>
      <c r="J193" s="150"/>
      <c r="K193" s="150"/>
      <c r="L193" s="150"/>
      <c r="M193" s="150"/>
      <c r="N193" s="150"/>
      <c r="O193" s="150"/>
      <c r="P193" s="150"/>
      <c r="Q193" s="150"/>
      <c r="R193" s="150"/>
      <c r="S193" s="150"/>
      <c r="T193" s="186"/>
      <c r="U193" s="186"/>
      <c r="V193" s="186"/>
      <c r="W193" s="186"/>
      <c r="X193" s="186"/>
      <c r="Y193" s="186"/>
      <c r="Z193" s="186"/>
      <c r="AA193" s="186"/>
      <c r="AB193" s="186"/>
      <c r="AC193" s="186"/>
      <c r="AD193" s="186"/>
      <c r="AF193" s="150"/>
      <c r="AG193" s="150"/>
      <c r="AH193" s="150"/>
      <c r="AI193" s="150"/>
      <c r="AJ193" s="150"/>
      <c r="AK193" s="150"/>
      <c r="AL193" s="150"/>
      <c r="AM193" s="150"/>
      <c r="AN193" s="150"/>
      <c r="AO193" s="150"/>
      <c r="AP193" s="150"/>
      <c r="AQ193" s="150"/>
      <c r="AT193" s="186"/>
      <c r="AU193" s="186"/>
      <c r="AV193" s="186"/>
      <c r="AW193" s="186"/>
      <c r="AX193" s="186"/>
      <c r="AY193" s="186"/>
      <c r="AZ193" s="186"/>
      <c r="BA193" s="186"/>
      <c r="BB193" s="186"/>
      <c r="BC193" s="186"/>
      <c r="BD193" s="186"/>
      <c r="BE193" s="186"/>
      <c r="BF193" s="150"/>
      <c r="BG193" s="150"/>
      <c r="BI193"/>
      <c r="BJ193"/>
      <c r="BK193"/>
      <c r="BL193"/>
    </row>
    <row r="194" spans="3:64" ht="14.6">
      <c r="C194" s="289"/>
      <c r="D194" s="150"/>
      <c r="E194" s="150"/>
      <c r="F194" s="150"/>
      <c r="G194" s="150"/>
      <c r="H194" s="150"/>
      <c r="I194" s="150"/>
      <c r="J194" s="150"/>
      <c r="K194" s="150"/>
      <c r="L194" s="150"/>
      <c r="M194" s="150"/>
      <c r="N194" s="150"/>
      <c r="O194" s="150"/>
      <c r="P194" s="150"/>
      <c r="Q194" s="150"/>
      <c r="R194" s="150"/>
      <c r="S194" s="150"/>
      <c r="T194" s="186"/>
      <c r="U194" s="186"/>
      <c r="V194" s="186"/>
      <c r="W194" s="186"/>
      <c r="X194" s="186"/>
      <c r="Y194" s="186"/>
      <c r="Z194" s="186"/>
      <c r="AA194" s="186"/>
      <c r="AB194" s="186"/>
      <c r="AC194" s="186"/>
      <c r="AD194" s="186"/>
      <c r="AF194" s="150"/>
      <c r="AG194" s="150"/>
      <c r="AH194" s="150"/>
      <c r="AI194" s="150"/>
      <c r="AJ194" s="150"/>
      <c r="AK194" s="150"/>
      <c r="AL194" s="150"/>
      <c r="AM194" s="150"/>
      <c r="AN194" s="150"/>
      <c r="AO194" s="150"/>
      <c r="AP194" s="150"/>
      <c r="AQ194" s="150"/>
      <c r="AT194" s="186"/>
      <c r="AU194" s="186"/>
      <c r="AV194" s="186"/>
      <c r="AW194" s="186"/>
      <c r="AX194" s="186"/>
      <c r="AY194" s="186"/>
      <c r="AZ194" s="186"/>
      <c r="BA194" s="186"/>
      <c r="BB194" s="186"/>
      <c r="BC194" s="186"/>
      <c r="BD194" s="186"/>
      <c r="BE194" s="186"/>
      <c r="BF194" s="150"/>
      <c r="BG194" s="150"/>
      <c r="BI194"/>
      <c r="BJ194"/>
      <c r="BK194"/>
      <c r="BL194"/>
    </row>
    <row r="195" spans="3:64" ht="14.6">
      <c r="C195" s="289"/>
      <c r="D195" s="150"/>
      <c r="E195" s="150"/>
      <c r="F195" s="150"/>
      <c r="G195" s="150"/>
      <c r="H195" s="150"/>
      <c r="I195" s="150"/>
      <c r="J195" s="150"/>
      <c r="K195" s="150"/>
      <c r="L195" s="150"/>
      <c r="M195" s="150"/>
      <c r="N195" s="150"/>
      <c r="O195" s="150"/>
      <c r="P195" s="150"/>
      <c r="Q195" s="150"/>
      <c r="R195" s="150"/>
      <c r="S195" s="150"/>
      <c r="T195" s="186"/>
      <c r="U195" s="186"/>
      <c r="V195" s="186"/>
      <c r="W195" s="186"/>
      <c r="X195" s="186"/>
      <c r="Y195" s="186"/>
      <c r="Z195" s="186"/>
      <c r="AA195" s="186"/>
      <c r="AB195" s="186"/>
      <c r="AC195" s="186"/>
      <c r="AD195" s="186"/>
      <c r="AF195" s="150"/>
      <c r="AG195" s="150"/>
      <c r="AH195" s="150"/>
      <c r="AI195" s="150"/>
      <c r="AJ195" s="150"/>
      <c r="AK195" s="150"/>
      <c r="AL195" s="150"/>
      <c r="AM195" s="150"/>
      <c r="AN195" s="150"/>
      <c r="AO195" s="150"/>
      <c r="AP195" s="150"/>
      <c r="AQ195" s="150"/>
      <c r="AT195" s="186"/>
      <c r="AU195" s="186"/>
      <c r="AV195" s="186"/>
      <c r="AW195" s="186"/>
      <c r="AX195" s="186"/>
      <c r="AY195" s="186"/>
      <c r="AZ195" s="186"/>
      <c r="BA195" s="186"/>
      <c r="BB195" s="186"/>
      <c r="BC195" s="186"/>
      <c r="BD195" s="186"/>
      <c r="BE195" s="186"/>
      <c r="BF195" s="150"/>
      <c r="BG195" s="150"/>
      <c r="BI195"/>
      <c r="BJ195"/>
      <c r="BK195"/>
      <c r="BL195"/>
    </row>
    <row r="196" spans="3:64" ht="14.6">
      <c r="C196" s="289"/>
      <c r="D196" s="150"/>
      <c r="E196" s="150"/>
      <c r="F196" s="150"/>
      <c r="G196" s="150"/>
      <c r="H196" s="150"/>
      <c r="I196" s="150"/>
      <c r="J196" s="150"/>
      <c r="K196" s="150"/>
      <c r="L196" s="150"/>
      <c r="M196" s="150"/>
      <c r="N196" s="150"/>
      <c r="O196" s="150"/>
      <c r="P196" s="150"/>
      <c r="Q196" s="150"/>
      <c r="R196" s="150"/>
      <c r="S196" s="150"/>
      <c r="T196" s="186"/>
      <c r="U196" s="186"/>
      <c r="V196" s="186"/>
      <c r="W196" s="186"/>
      <c r="X196" s="186"/>
      <c r="Y196" s="186"/>
      <c r="Z196" s="186"/>
      <c r="AA196" s="186"/>
      <c r="AB196" s="186"/>
      <c r="AC196" s="186"/>
      <c r="AD196" s="186"/>
      <c r="AF196" s="150"/>
      <c r="AG196" s="150"/>
      <c r="AH196" s="150"/>
      <c r="AI196" s="150"/>
      <c r="AJ196" s="150"/>
      <c r="AK196" s="150"/>
      <c r="AL196" s="150"/>
      <c r="AM196" s="150"/>
      <c r="AN196" s="150"/>
      <c r="AO196" s="150"/>
      <c r="AP196" s="150"/>
      <c r="AQ196" s="150"/>
      <c r="AT196" s="186"/>
      <c r="AU196" s="186"/>
      <c r="AV196" s="186"/>
      <c r="AW196" s="186"/>
      <c r="AX196" s="186"/>
      <c r="AY196" s="186"/>
      <c r="AZ196" s="186"/>
      <c r="BA196" s="186"/>
      <c r="BB196" s="186"/>
      <c r="BC196" s="186"/>
      <c r="BD196" s="186"/>
      <c r="BE196" s="186"/>
      <c r="BF196" s="150"/>
      <c r="BG196" s="150"/>
      <c r="BI196"/>
      <c r="BJ196"/>
      <c r="BK196"/>
      <c r="BL196"/>
    </row>
    <row r="197" spans="3:64" ht="14.6">
      <c r="C197" s="289"/>
      <c r="D197" s="150"/>
      <c r="E197" s="150"/>
      <c r="F197" s="150"/>
      <c r="G197" s="150"/>
      <c r="H197" s="150"/>
      <c r="I197" s="150"/>
      <c r="J197" s="150"/>
      <c r="K197" s="150"/>
      <c r="L197" s="150"/>
      <c r="M197" s="150"/>
      <c r="N197" s="150"/>
      <c r="O197" s="150"/>
      <c r="P197" s="150"/>
      <c r="Q197" s="150"/>
      <c r="R197" s="150"/>
      <c r="S197" s="150"/>
      <c r="T197" s="186"/>
      <c r="U197" s="186"/>
      <c r="V197" s="186"/>
      <c r="W197" s="186"/>
      <c r="X197" s="186"/>
      <c r="Y197" s="186"/>
      <c r="Z197" s="186"/>
      <c r="AA197" s="186"/>
      <c r="AB197" s="186"/>
      <c r="AC197" s="186"/>
      <c r="AD197" s="186"/>
      <c r="AF197" s="150"/>
      <c r="AG197" s="150"/>
      <c r="AH197" s="150"/>
      <c r="AI197" s="150"/>
      <c r="AJ197" s="150"/>
      <c r="AK197" s="150"/>
      <c r="AL197" s="150"/>
      <c r="AM197" s="150"/>
      <c r="AN197" s="150"/>
      <c r="AO197" s="150"/>
      <c r="AP197" s="150"/>
      <c r="AQ197" s="150"/>
      <c r="AT197" s="186"/>
      <c r="AU197" s="186"/>
      <c r="AV197" s="186"/>
      <c r="AW197" s="186"/>
      <c r="AX197" s="186"/>
      <c r="AY197" s="186"/>
      <c r="AZ197" s="186"/>
      <c r="BA197" s="186"/>
      <c r="BB197" s="186"/>
      <c r="BC197" s="186"/>
      <c r="BD197" s="186"/>
      <c r="BE197" s="186"/>
      <c r="BF197" s="150"/>
      <c r="BG197" s="150"/>
      <c r="BI197"/>
      <c r="BJ197"/>
      <c r="BK197"/>
      <c r="BL197"/>
    </row>
    <row r="198" spans="3:64" ht="14.6">
      <c r="C198" s="289"/>
      <c r="D198" s="150"/>
      <c r="E198" s="150"/>
      <c r="F198" s="150"/>
      <c r="G198" s="150"/>
      <c r="H198" s="150"/>
      <c r="I198" s="150"/>
      <c r="J198" s="150"/>
      <c r="K198" s="150"/>
      <c r="L198" s="150"/>
      <c r="M198" s="150"/>
      <c r="N198" s="150"/>
      <c r="O198" s="150"/>
      <c r="P198" s="150"/>
      <c r="Q198" s="150"/>
      <c r="R198" s="150"/>
      <c r="S198" s="150"/>
      <c r="T198" s="186"/>
      <c r="U198" s="186"/>
      <c r="V198" s="186"/>
      <c r="W198" s="186"/>
      <c r="X198" s="186"/>
      <c r="Y198" s="186"/>
      <c r="Z198" s="186"/>
      <c r="AA198" s="186"/>
      <c r="AB198" s="186"/>
      <c r="AC198" s="186"/>
      <c r="AD198" s="186"/>
      <c r="AF198" s="150"/>
      <c r="AG198" s="150"/>
      <c r="AH198" s="150"/>
      <c r="AI198" s="150"/>
      <c r="AJ198" s="150"/>
      <c r="AK198" s="150"/>
      <c r="AL198" s="150"/>
      <c r="AM198" s="150"/>
      <c r="AN198" s="150"/>
      <c r="AO198" s="150"/>
      <c r="AP198" s="150"/>
      <c r="AQ198" s="150"/>
      <c r="AT198" s="186"/>
      <c r="AU198" s="186"/>
      <c r="AV198" s="186"/>
      <c r="AW198" s="186"/>
      <c r="AX198" s="186"/>
      <c r="AY198" s="186"/>
      <c r="AZ198" s="186"/>
      <c r="BA198" s="186"/>
      <c r="BB198" s="186"/>
      <c r="BC198" s="186"/>
      <c r="BD198" s="186"/>
      <c r="BE198" s="186"/>
      <c r="BF198" s="150"/>
      <c r="BG198" s="150"/>
      <c r="BI198"/>
      <c r="BJ198"/>
      <c r="BK198"/>
      <c r="BL198"/>
    </row>
    <row r="199" spans="3:64" ht="14.6">
      <c r="C199" s="289"/>
      <c r="D199" s="150"/>
      <c r="E199" s="150"/>
      <c r="F199" s="150"/>
      <c r="G199" s="150"/>
      <c r="H199" s="150"/>
      <c r="I199" s="150"/>
      <c r="J199" s="150"/>
      <c r="K199" s="150"/>
      <c r="L199" s="150"/>
      <c r="M199" s="150"/>
      <c r="N199" s="150"/>
      <c r="O199" s="150"/>
      <c r="P199" s="150"/>
      <c r="Q199" s="150"/>
      <c r="R199" s="150"/>
      <c r="S199" s="150"/>
      <c r="T199" s="186"/>
      <c r="U199" s="186"/>
      <c r="V199" s="186"/>
      <c r="W199" s="186"/>
      <c r="X199" s="186"/>
      <c r="Y199" s="186"/>
      <c r="Z199" s="186"/>
      <c r="AA199" s="186"/>
      <c r="AB199" s="186"/>
      <c r="AC199" s="186"/>
      <c r="AD199" s="186"/>
      <c r="AF199" s="150"/>
      <c r="AG199" s="150"/>
      <c r="AH199" s="150"/>
      <c r="AI199" s="150"/>
      <c r="AJ199" s="150"/>
      <c r="AK199" s="150"/>
      <c r="AL199" s="150"/>
      <c r="AM199" s="150"/>
      <c r="AN199" s="150"/>
      <c r="AO199" s="150"/>
      <c r="AP199" s="150"/>
      <c r="AQ199" s="150"/>
      <c r="AT199" s="186"/>
      <c r="AU199" s="186"/>
      <c r="AV199" s="186"/>
      <c r="AW199" s="186"/>
      <c r="AX199" s="186"/>
      <c r="AY199" s="186"/>
      <c r="AZ199" s="186"/>
      <c r="BA199" s="186"/>
      <c r="BB199" s="186"/>
      <c r="BC199" s="186"/>
      <c r="BD199" s="186"/>
      <c r="BE199" s="186"/>
      <c r="BF199" s="150"/>
      <c r="BG199" s="150"/>
      <c r="BI199"/>
      <c r="BJ199"/>
      <c r="BK199"/>
      <c r="BL199"/>
    </row>
    <row r="200" spans="3:64" ht="14.6">
      <c r="C200" s="289"/>
      <c r="D200" s="150"/>
      <c r="E200" s="150"/>
      <c r="F200" s="150"/>
      <c r="G200" s="150"/>
      <c r="H200" s="150"/>
      <c r="I200" s="150"/>
      <c r="J200" s="150"/>
      <c r="K200" s="150"/>
      <c r="L200" s="150"/>
      <c r="M200" s="150"/>
      <c r="N200" s="150"/>
      <c r="O200" s="150"/>
      <c r="P200" s="150"/>
      <c r="Q200" s="150"/>
      <c r="R200" s="150"/>
      <c r="S200" s="150"/>
      <c r="T200" s="186"/>
      <c r="U200" s="186"/>
      <c r="V200" s="186"/>
      <c r="W200" s="186"/>
      <c r="X200" s="186"/>
      <c r="Y200" s="186"/>
      <c r="Z200" s="186"/>
      <c r="AA200" s="186"/>
      <c r="AB200" s="186"/>
      <c r="AC200" s="186"/>
      <c r="AD200" s="186"/>
      <c r="AF200" s="150"/>
      <c r="AG200" s="150"/>
      <c r="AH200" s="150"/>
      <c r="AI200" s="150"/>
      <c r="AJ200" s="150"/>
      <c r="AK200" s="150"/>
      <c r="AL200" s="150"/>
      <c r="AM200" s="150"/>
      <c r="AN200" s="150"/>
      <c r="AO200" s="150"/>
      <c r="AP200" s="150"/>
      <c r="AQ200" s="150"/>
      <c r="AT200" s="186"/>
      <c r="AU200" s="186"/>
      <c r="AV200" s="186"/>
      <c r="AW200" s="186"/>
      <c r="AX200" s="186"/>
      <c r="AY200" s="186"/>
      <c r="AZ200" s="186"/>
      <c r="BA200" s="186"/>
      <c r="BB200" s="186"/>
      <c r="BC200" s="186"/>
      <c r="BD200" s="186"/>
      <c r="BE200" s="186"/>
      <c r="BF200" s="150"/>
      <c r="BG200" s="150"/>
      <c r="BI200"/>
      <c r="BJ200"/>
      <c r="BK200"/>
      <c r="BL200"/>
    </row>
    <row r="201" spans="3:64" ht="14.6">
      <c r="C201" s="289"/>
      <c r="D201" s="150"/>
      <c r="E201" s="150"/>
      <c r="F201" s="150"/>
      <c r="G201" s="150"/>
      <c r="H201" s="150"/>
      <c r="I201" s="150"/>
      <c r="J201" s="150"/>
      <c r="K201" s="150"/>
      <c r="L201" s="150"/>
      <c r="M201" s="150"/>
      <c r="N201" s="150"/>
      <c r="O201" s="150"/>
      <c r="P201" s="150"/>
      <c r="Q201" s="150"/>
      <c r="R201" s="150"/>
      <c r="S201" s="150"/>
      <c r="T201" s="186"/>
      <c r="U201" s="186"/>
      <c r="V201" s="186"/>
      <c r="W201" s="186"/>
      <c r="X201" s="186"/>
      <c r="Y201" s="186"/>
      <c r="Z201" s="186"/>
      <c r="AA201" s="186"/>
      <c r="AB201" s="186"/>
      <c r="AC201" s="186"/>
      <c r="AD201" s="186"/>
      <c r="AF201" s="150"/>
      <c r="AG201" s="150"/>
      <c r="AH201" s="150"/>
      <c r="AI201" s="150"/>
      <c r="AJ201" s="150"/>
      <c r="AK201" s="150"/>
      <c r="AL201" s="150"/>
      <c r="AM201" s="150"/>
      <c r="AN201" s="150"/>
      <c r="AO201" s="150"/>
      <c r="AP201" s="150"/>
      <c r="AQ201" s="150"/>
      <c r="AT201" s="186"/>
      <c r="AU201" s="186"/>
      <c r="AV201" s="186"/>
      <c r="AW201" s="186"/>
      <c r="AX201" s="186"/>
      <c r="AY201" s="186"/>
      <c r="AZ201" s="186"/>
      <c r="BA201" s="186"/>
      <c r="BB201" s="186"/>
      <c r="BC201" s="186"/>
      <c r="BD201" s="186"/>
      <c r="BE201" s="186"/>
      <c r="BF201" s="150"/>
      <c r="BG201" s="150"/>
      <c r="BI201"/>
      <c r="BJ201"/>
      <c r="BK201"/>
      <c r="BL201"/>
    </row>
    <row r="202" spans="3:64" ht="14.6">
      <c r="C202" s="289"/>
      <c r="D202" s="150"/>
      <c r="E202" s="150"/>
      <c r="F202" s="150"/>
      <c r="G202" s="150"/>
      <c r="H202" s="150"/>
      <c r="I202" s="150"/>
      <c r="J202" s="150"/>
      <c r="K202" s="150"/>
      <c r="L202" s="150"/>
      <c r="M202" s="150"/>
      <c r="N202" s="150"/>
      <c r="O202" s="150"/>
      <c r="P202" s="150"/>
      <c r="Q202" s="150"/>
      <c r="R202" s="150"/>
      <c r="S202" s="150"/>
      <c r="T202" s="186"/>
      <c r="U202" s="186"/>
      <c r="V202" s="186"/>
      <c r="W202" s="186"/>
      <c r="X202" s="186"/>
      <c r="Y202" s="186"/>
      <c r="Z202" s="186"/>
      <c r="AA202" s="186"/>
      <c r="AB202" s="186"/>
      <c r="AC202" s="186"/>
      <c r="AD202" s="186"/>
      <c r="AF202" s="150"/>
      <c r="AG202" s="150"/>
      <c r="AH202" s="150"/>
      <c r="AI202" s="150"/>
      <c r="AJ202" s="150"/>
      <c r="AK202" s="150"/>
      <c r="AL202" s="150"/>
      <c r="AM202" s="150"/>
      <c r="AN202" s="150"/>
      <c r="AO202" s="150"/>
      <c r="AP202" s="150"/>
      <c r="AQ202" s="150"/>
      <c r="AT202" s="186"/>
      <c r="AU202" s="186"/>
      <c r="AV202" s="186"/>
      <c r="AW202" s="186"/>
      <c r="AX202" s="186"/>
      <c r="AY202" s="186"/>
      <c r="AZ202" s="186"/>
      <c r="BA202" s="186"/>
      <c r="BB202" s="186"/>
      <c r="BC202" s="186"/>
      <c r="BD202" s="186"/>
      <c r="BE202" s="186"/>
      <c r="BF202" s="150"/>
      <c r="BG202" s="150"/>
      <c r="BI202"/>
      <c r="BJ202"/>
      <c r="BK202"/>
      <c r="BL202"/>
    </row>
    <row r="203" spans="3:64" ht="14.6">
      <c r="C203" s="289"/>
      <c r="D203" s="150"/>
      <c r="E203" s="150"/>
      <c r="F203" s="150"/>
      <c r="G203" s="150"/>
      <c r="H203" s="150"/>
      <c r="I203" s="150"/>
      <c r="J203" s="150"/>
      <c r="K203" s="150"/>
      <c r="L203" s="150"/>
      <c r="M203" s="150"/>
      <c r="N203" s="150"/>
      <c r="O203" s="150"/>
      <c r="P203" s="150"/>
      <c r="Q203" s="150"/>
      <c r="R203" s="150"/>
      <c r="S203" s="150"/>
      <c r="T203" s="186"/>
      <c r="U203" s="186"/>
      <c r="V203" s="186"/>
      <c r="W203" s="186"/>
      <c r="X203" s="186"/>
      <c r="Y203" s="186"/>
      <c r="Z203" s="186"/>
      <c r="AA203" s="186"/>
      <c r="AB203" s="186"/>
      <c r="AC203" s="186"/>
      <c r="AD203" s="186"/>
      <c r="AF203" s="150"/>
      <c r="AG203" s="150"/>
      <c r="AH203" s="150"/>
      <c r="AI203" s="150"/>
      <c r="AJ203" s="150"/>
      <c r="AK203" s="150"/>
      <c r="AL203" s="150"/>
      <c r="AM203" s="150"/>
      <c r="AN203" s="150"/>
      <c r="AO203" s="150"/>
      <c r="AP203" s="150"/>
      <c r="AQ203" s="150"/>
      <c r="AT203" s="186"/>
      <c r="AU203" s="186"/>
      <c r="AV203" s="186"/>
      <c r="AW203" s="186"/>
      <c r="AX203" s="186"/>
      <c r="AY203" s="186"/>
      <c r="AZ203" s="186"/>
      <c r="BA203" s="186"/>
      <c r="BB203" s="186"/>
      <c r="BC203" s="186"/>
      <c r="BD203" s="186"/>
      <c r="BE203" s="186"/>
      <c r="BF203" s="150"/>
      <c r="BG203" s="150"/>
      <c r="BI203"/>
      <c r="BJ203"/>
      <c r="BK203"/>
      <c r="BL203"/>
    </row>
    <row r="204" spans="3:64" ht="14.6">
      <c r="C204" s="289"/>
      <c r="D204" s="150"/>
      <c r="E204" s="150"/>
      <c r="F204" s="150"/>
      <c r="G204" s="150"/>
      <c r="H204" s="150"/>
      <c r="I204" s="150"/>
      <c r="J204" s="150"/>
      <c r="K204" s="150"/>
      <c r="L204" s="150"/>
      <c r="M204" s="150"/>
      <c r="N204" s="150"/>
      <c r="O204" s="150"/>
      <c r="P204" s="150"/>
      <c r="Q204" s="150"/>
      <c r="R204" s="150"/>
      <c r="S204" s="150"/>
      <c r="T204" s="186"/>
      <c r="U204" s="186"/>
      <c r="V204" s="186"/>
      <c r="W204" s="186"/>
      <c r="X204" s="186"/>
      <c r="Y204" s="186"/>
      <c r="Z204" s="186"/>
      <c r="AA204" s="186"/>
      <c r="AB204" s="186"/>
      <c r="AC204" s="186"/>
      <c r="AD204" s="186"/>
      <c r="AF204" s="150"/>
      <c r="AG204" s="150"/>
      <c r="AH204" s="150"/>
      <c r="AI204" s="150"/>
      <c r="AJ204" s="150"/>
      <c r="AK204" s="150"/>
      <c r="AL204" s="150"/>
      <c r="AM204" s="150"/>
      <c r="AN204" s="150"/>
      <c r="AO204" s="150"/>
      <c r="AP204" s="150"/>
      <c r="AQ204" s="150"/>
      <c r="AT204" s="186"/>
      <c r="AU204" s="186"/>
      <c r="AV204" s="186"/>
      <c r="AW204" s="186"/>
      <c r="AX204" s="186"/>
      <c r="AY204" s="186"/>
      <c r="AZ204" s="186"/>
      <c r="BA204" s="186"/>
      <c r="BB204" s="186"/>
      <c r="BC204" s="186"/>
      <c r="BD204" s="186"/>
      <c r="BE204" s="186"/>
      <c r="BF204" s="150"/>
      <c r="BG204" s="150"/>
      <c r="BI204"/>
      <c r="BJ204"/>
      <c r="BK204"/>
      <c r="BL204"/>
    </row>
    <row r="205" spans="3:64" ht="14.6">
      <c r="C205" s="289"/>
      <c r="D205" s="150"/>
      <c r="E205" s="150"/>
      <c r="F205" s="150"/>
      <c r="G205" s="150"/>
      <c r="H205" s="150"/>
      <c r="I205" s="150"/>
      <c r="J205" s="150"/>
      <c r="K205" s="150"/>
      <c r="L205" s="150"/>
      <c r="M205" s="150"/>
      <c r="N205" s="150"/>
      <c r="O205" s="150"/>
      <c r="P205" s="150"/>
      <c r="Q205" s="150"/>
      <c r="R205" s="150"/>
      <c r="S205" s="150"/>
      <c r="T205" s="186"/>
      <c r="U205" s="186"/>
      <c r="V205" s="186"/>
      <c r="W205" s="186"/>
      <c r="X205" s="186"/>
      <c r="Y205" s="186"/>
      <c r="Z205" s="186"/>
      <c r="AA205" s="186"/>
      <c r="AB205" s="186"/>
      <c r="AC205" s="186"/>
      <c r="AD205" s="186"/>
      <c r="AF205" s="150"/>
      <c r="AG205" s="150"/>
      <c r="AH205" s="150"/>
      <c r="AI205" s="150"/>
      <c r="AJ205" s="150"/>
      <c r="AK205" s="150"/>
      <c r="AL205" s="150"/>
      <c r="AM205" s="150"/>
      <c r="AN205" s="150"/>
      <c r="AO205" s="150"/>
      <c r="AP205" s="150"/>
      <c r="AQ205" s="150"/>
      <c r="AT205" s="186"/>
      <c r="AU205" s="186"/>
      <c r="AV205" s="186"/>
      <c r="AW205" s="186"/>
      <c r="AX205" s="186"/>
      <c r="AY205" s="186"/>
      <c r="AZ205" s="186"/>
      <c r="BA205" s="186"/>
      <c r="BB205" s="186"/>
      <c r="BC205" s="186"/>
      <c r="BD205" s="186"/>
      <c r="BE205" s="186"/>
      <c r="BF205" s="150"/>
      <c r="BG205" s="150"/>
      <c r="BI205"/>
      <c r="BJ205"/>
      <c r="BK205"/>
      <c r="BL205"/>
    </row>
    <row r="206" spans="3:64" ht="14.6">
      <c r="C206" s="289"/>
      <c r="D206" s="150"/>
      <c r="E206" s="150"/>
      <c r="F206" s="150"/>
      <c r="G206" s="150"/>
      <c r="H206" s="150"/>
      <c r="I206" s="150"/>
      <c r="J206" s="150"/>
      <c r="K206" s="150"/>
      <c r="L206" s="150"/>
      <c r="M206" s="150"/>
      <c r="N206" s="150"/>
      <c r="O206" s="150"/>
      <c r="P206" s="150"/>
      <c r="Q206" s="150"/>
      <c r="R206" s="150"/>
      <c r="S206" s="150"/>
      <c r="T206" s="186"/>
      <c r="U206" s="186"/>
      <c r="V206" s="186"/>
      <c r="W206" s="186"/>
      <c r="X206" s="186"/>
      <c r="Y206" s="186"/>
      <c r="Z206" s="186"/>
      <c r="AA206" s="186"/>
      <c r="AB206" s="186"/>
      <c r="AC206" s="186"/>
      <c r="AD206" s="186"/>
      <c r="AF206" s="150"/>
      <c r="AG206" s="150"/>
      <c r="AH206" s="150"/>
      <c r="AI206" s="150"/>
      <c r="AJ206" s="150"/>
      <c r="AK206" s="150"/>
      <c r="AL206" s="150"/>
      <c r="AM206" s="150"/>
      <c r="AN206" s="150"/>
      <c r="AO206" s="150"/>
      <c r="AP206" s="150"/>
      <c r="AQ206" s="150"/>
      <c r="AT206" s="186"/>
      <c r="AU206" s="186"/>
      <c r="AV206" s="186"/>
      <c r="AW206" s="186"/>
      <c r="AX206" s="186"/>
      <c r="AY206" s="186"/>
      <c r="AZ206" s="186"/>
      <c r="BA206" s="186"/>
      <c r="BB206" s="186"/>
      <c r="BC206" s="186"/>
      <c r="BD206" s="186"/>
      <c r="BE206" s="186"/>
      <c r="BF206" s="150"/>
      <c r="BG206" s="150"/>
      <c r="BI206"/>
      <c r="BJ206"/>
      <c r="BK206"/>
      <c r="BL206"/>
    </row>
    <row r="207" spans="3:64" ht="14.6">
      <c r="C207" s="289"/>
      <c r="D207" s="150"/>
      <c r="E207" s="150"/>
      <c r="F207" s="150"/>
      <c r="G207" s="150"/>
      <c r="H207" s="150"/>
      <c r="I207" s="150"/>
      <c r="J207" s="150"/>
      <c r="K207" s="150"/>
      <c r="L207" s="150"/>
      <c r="M207" s="150"/>
      <c r="N207" s="150"/>
      <c r="O207" s="150"/>
      <c r="P207" s="150"/>
      <c r="Q207" s="150"/>
      <c r="R207" s="150"/>
      <c r="S207" s="150"/>
      <c r="T207" s="186"/>
      <c r="U207" s="186"/>
      <c r="V207" s="186"/>
      <c r="W207" s="186"/>
      <c r="X207" s="186"/>
      <c r="Y207" s="186"/>
      <c r="Z207" s="186"/>
      <c r="AA207" s="186"/>
      <c r="AB207" s="186"/>
      <c r="AC207" s="186"/>
      <c r="AD207" s="186"/>
      <c r="AF207" s="150"/>
      <c r="AG207" s="150"/>
      <c r="AH207" s="150"/>
      <c r="AI207" s="150"/>
      <c r="AJ207" s="150"/>
      <c r="AK207" s="150"/>
      <c r="AL207" s="150"/>
      <c r="AM207" s="150"/>
      <c r="AN207" s="150"/>
      <c r="AO207" s="150"/>
      <c r="AP207" s="150"/>
      <c r="AQ207" s="150"/>
      <c r="AT207" s="186"/>
      <c r="AU207" s="186"/>
      <c r="AV207" s="186"/>
      <c r="AW207" s="186"/>
      <c r="AX207" s="186"/>
      <c r="AY207" s="186"/>
      <c r="AZ207" s="186"/>
      <c r="BA207" s="186"/>
      <c r="BB207" s="186"/>
      <c r="BC207" s="186"/>
      <c r="BD207" s="186"/>
      <c r="BE207" s="186"/>
      <c r="BF207" s="150"/>
      <c r="BG207" s="150"/>
      <c r="BI207"/>
      <c r="BJ207"/>
      <c r="BK207"/>
      <c r="BL207"/>
    </row>
    <row r="208" spans="3:64" ht="14.6">
      <c r="C208" s="289"/>
      <c r="D208" s="150"/>
      <c r="E208" s="150"/>
      <c r="F208" s="150"/>
      <c r="G208" s="150"/>
      <c r="H208" s="150"/>
      <c r="I208" s="150"/>
      <c r="J208" s="150"/>
      <c r="K208" s="150"/>
      <c r="L208" s="150"/>
      <c r="M208" s="150"/>
      <c r="N208" s="150"/>
      <c r="O208" s="150"/>
      <c r="P208" s="150"/>
      <c r="Q208" s="150"/>
      <c r="R208" s="150"/>
      <c r="S208" s="150"/>
      <c r="T208" s="186"/>
      <c r="U208" s="186"/>
      <c r="V208" s="186"/>
      <c r="W208" s="186"/>
      <c r="X208" s="186"/>
      <c r="Y208" s="186"/>
      <c r="Z208" s="186"/>
      <c r="AA208" s="186"/>
      <c r="AB208" s="186"/>
      <c r="AC208" s="186"/>
      <c r="AD208" s="186"/>
      <c r="AF208" s="150"/>
      <c r="AG208" s="150"/>
      <c r="AH208" s="150"/>
      <c r="AI208" s="150"/>
      <c r="AJ208" s="150"/>
      <c r="AK208" s="150"/>
      <c r="AL208" s="150"/>
      <c r="AM208" s="150"/>
      <c r="AN208" s="150"/>
      <c r="AO208" s="150"/>
      <c r="AP208" s="150"/>
      <c r="AQ208" s="150"/>
      <c r="AT208" s="186"/>
      <c r="AU208" s="186"/>
      <c r="AV208" s="186"/>
      <c r="AW208" s="186"/>
      <c r="AX208" s="186"/>
      <c r="AY208" s="186"/>
      <c r="AZ208" s="186"/>
      <c r="BA208" s="186"/>
      <c r="BB208" s="186"/>
      <c r="BC208" s="186"/>
      <c r="BD208" s="186"/>
      <c r="BE208" s="186"/>
      <c r="BF208" s="150"/>
      <c r="BG208" s="150"/>
      <c r="BI208"/>
      <c r="BJ208"/>
      <c r="BK208"/>
      <c r="BL208"/>
    </row>
    <row r="209" spans="3:64" ht="14.6">
      <c r="C209" s="289"/>
      <c r="D209" s="150"/>
      <c r="E209" s="150"/>
      <c r="F209" s="150"/>
      <c r="G209" s="150"/>
      <c r="H209" s="150"/>
      <c r="I209" s="150"/>
      <c r="J209" s="150"/>
      <c r="K209" s="150"/>
      <c r="L209" s="150"/>
      <c r="M209" s="150"/>
      <c r="N209" s="150"/>
      <c r="O209" s="150"/>
      <c r="P209" s="150"/>
      <c r="Q209" s="150"/>
      <c r="R209" s="150"/>
      <c r="S209" s="150"/>
      <c r="T209" s="186"/>
      <c r="U209" s="186"/>
      <c r="V209" s="186"/>
      <c r="W209" s="186"/>
      <c r="X209" s="186"/>
      <c r="Y209" s="186"/>
      <c r="Z209" s="186"/>
      <c r="AA209" s="186"/>
      <c r="AB209" s="186"/>
      <c r="AC209" s="186"/>
      <c r="AD209" s="186"/>
      <c r="AF209" s="150"/>
      <c r="AG209" s="150"/>
      <c r="AH209" s="150"/>
      <c r="AI209" s="150"/>
      <c r="AJ209" s="150"/>
      <c r="AK209" s="150"/>
      <c r="AL209" s="150"/>
      <c r="AM209" s="150"/>
      <c r="AN209" s="150"/>
      <c r="AO209" s="150"/>
      <c r="AP209" s="150"/>
      <c r="AQ209" s="150"/>
      <c r="AT209" s="186"/>
      <c r="AU209" s="186"/>
      <c r="AV209" s="186"/>
      <c r="AW209" s="186"/>
      <c r="AX209" s="186"/>
      <c r="AY209" s="186"/>
      <c r="AZ209" s="186"/>
      <c r="BA209" s="186"/>
      <c r="BB209" s="186"/>
      <c r="BC209" s="186"/>
      <c r="BD209" s="186"/>
      <c r="BE209" s="186"/>
      <c r="BF209" s="150"/>
      <c r="BG209" s="150"/>
      <c r="BI209"/>
      <c r="BJ209"/>
      <c r="BK209"/>
      <c r="BL209"/>
    </row>
    <row r="210" spans="3:64" ht="14.6">
      <c r="C210" s="289"/>
      <c r="D210" s="150"/>
      <c r="E210" s="150"/>
      <c r="F210" s="150"/>
      <c r="G210" s="150"/>
      <c r="H210" s="150"/>
      <c r="I210" s="150"/>
      <c r="J210" s="150"/>
      <c r="K210" s="150"/>
      <c r="L210" s="150"/>
      <c r="M210" s="150"/>
      <c r="N210" s="150"/>
      <c r="O210" s="150"/>
      <c r="P210" s="150"/>
      <c r="Q210" s="150"/>
      <c r="R210" s="150"/>
      <c r="S210" s="150"/>
      <c r="T210" s="186"/>
      <c r="U210" s="186"/>
      <c r="V210" s="186"/>
      <c r="W210" s="186"/>
      <c r="X210" s="186"/>
      <c r="Y210" s="186"/>
      <c r="Z210" s="186"/>
      <c r="AA210" s="186"/>
      <c r="AB210" s="186"/>
      <c r="AC210" s="186"/>
      <c r="AD210" s="186"/>
      <c r="AF210" s="150"/>
      <c r="AG210" s="150"/>
      <c r="AH210" s="150"/>
      <c r="AI210" s="150"/>
      <c r="AJ210" s="150"/>
      <c r="AK210" s="150"/>
      <c r="AL210" s="150"/>
      <c r="AM210" s="150"/>
      <c r="AN210" s="150"/>
      <c r="AO210" s="150"/>
      <c r="AP210" s="150"/>
      <c r="AQ210" s="150"/>
      <c r="AT210" s="186"/>
      <c r="AU210" s="186"/>
      <c r="AV210" s="186"/>
      <c r="AW210" s="186"/>
      <c r="AX210" s="186"/>
      <c r="AY210" s="186"/>
      <c r="AZ210" s="186"/>
      <c r="BA210" s="186"/>
      <c r="BB210" s="186"/>
      <c r="BC210" s="186"/>
      <c r="BD210" s="186"/>
      <c r="BE210" s="186"/>
      <c r="BF210" s="150"/>
      <c r="BG210" s="150"/>
      <c r="BI210"/>
      <c r="BJ210"/>
      <c r="BK210"/>
      <c r="BL210"/>
    </row>
    <row r="211" spans="3:64" ht="14.6">
      <c r="C211" s="289"/>
      <c r="D211" s="150"/>
      <c r="E211" s="150"/>
      <c r="F211" s="150"/>
      <c r="G211" s="150"/>
      <c r="H211" s="150"/>
      <c r="I211" s="150"/>
      <c r="J211" s="150"/>
      <c r="K211" s="150"/>
      <c r="L211" s="150"/>
      <c r="M211" s="150"/>
      <c r="N211" s="150"/>
      <c r="O211" s="150"/>
      <c r="P211" s="150"/>
      <c r="Q211" s="150"/>
      <c r="R211" s="150"/>
      <c r="S211" s="150"/>
      <c r="T211" s="186"/>
      <c r="U211" s="186"/>
      <c r="V211" s="186"/>
      <c r="W211" s="186"/>
      <c r="X211" s="186"/>
      <c r="Y211" s="186"/>
      <c r="Z211" s="186"/>
      <c r="AA211" s="186"/>
      <c r="AB211" s="186"/>
      <c r="AC211" s="186"/>
      <c r="AD211" s="186"/>
      <c r="AF211" s="150"/>
      <c r="AG211" s="150"/>
      <c r="AH211" s="150"/>
      <c r="AI211" s="150"/>
      <c r="AJ211" s="150"/>
      <c r="AK211" s="150"/>
      <c r="AL211" s="150"/>
      <c r="AM211" s="150"/>
      <c r="AN211" s="150"/>
      <c r="AO211" s="150"/>
      <c r="AP211" s="150"/>
      <c r="AQ211" s="150"/>
      <c r="AT211" s="186"/>
      <c r="AU211" s="186"/>
      <c r="AV211" s="186"/>
      <c r="AW211" s="186"/>
      <c r="AX211" s="186"/>
      <c r="AY211" s="186"/>
      <c r="AZ211" s="186"/>
      <c r="BA211" s="186"/>
      <c r="BB211" s="186"/>
      <c r="BC211" s="186"/>
      <c r="BD211" s="186"/>
      <c r="BE211" s="186"/>
      <c r="BF211" s="150"/>
      <c r="BG211" s="150"/>
      <c r="BI211"/>
      <c r="BJ211"/>
      <c r="BK211"/>
      <c r="BL211"/>
    </row>
    <row r="212" spans="3:64" ht="14.6">
      <c r="C212" s="289"/>
      <c r="D212" s="150"/>
      <c r="E212" s="150"/>
      <c r="F212" s="150"/>
      <c r="G212" s="150"/>
      <c r="H212" s="150"/>
      <c r="I212" s="150"/>
      <c r="J212" s="150"/>
      <c r="K212" s="150"/>
      <c r="L212" s="150"/>
      <c r="M212" s="150"/>
      <c r="N212" s="150"/>
      <c r="O212" s="150"/>
      <c r="P212" s="150"/>
      <c r="Q212" s="150"/>
      <c r="R212" s="150"/>
      <c r="S212" s="150"/>
      <c r="T212" s="186"/>
      <c r="U212" s="186"/>
      <c r="V212" s="186"/>
      <c r="W212" s="186"/>
      <c r="X212" s="186"/>
      <c r="Y212" s="186"/>
      <c r="Z212" s="186"/>
      <c r="AA212" s="186"/>
      <c r="AB212" s="186"/>
      <c r="AC212" s="186"/>
      <c r="AD212" s="186"/>
      <c r="AF212" s="150"/>
      <c r="AG212" s="150"/>
      <c r="AH212" s="150"/>
      <c r="AI212" s="150"/>
      <c r="AJ212" s="150"/>
      <c r="AK212" s="150"/>
      <c r="AL212" s="150"/>
      <c r="AM212" s="150"/>
      <c r="AN212" s="150"/>
      <c r="AO212" s="150"/>
      <c r="AP212" s="150"/>
      <c r="AQ212" s="150"/>
      <c r="AT212" s="186"/>
      <c r="AU212" s="186"/>
      <c r="AV212" s="186"/>
      <c r="AW212" s="186"/>
      <c r="AX212" s="186"/>
      <c r="AY212" s="186"/>
      <c r="AZ212" s="186"/>
      <c r="BA212" s="186"/>
      <c r="BB212" s="186"/>
      <c r="BC212" s="186"/>
      <c r="BD212" s="186"/>
      <c r="BE212" s="186"/>
      <c r="BF212" s="150"/>
      <c r="BG212" s="150"/>
      <c r="BI212"/>
      <c r="BJ212"/>
      <c r="BK212"/>
      <c r="BL212"/>
    </row>
    <row r="213" spans="3:64" ht="14.6">
      <c r="C213" s="289"/>
      <c r="D213" s="150"/>
      <c r="E213" s="150"/>
      <c r="F213" s="150"/>
      <c r="G213" s="150"/>
      <c r="H213" s="150"/>
      <c r="I213" s="150"/>
      <c r="J213" s="150"/>
      <c r="K213" s="150"/>
      <c r="L213" s="150"/>
      <c r="M213" s="150"/>
      <c r="N213" s="150"/>
      <c r="O213" s="150"/>
      <c r="P213" s="150"/>
      <c r="Q213" s="150"/>
      <c r="R213" s="150"/>
      <c r="S213" s="150"/>
      <c r="T213" s="186"/>
      <c r="U213" s="186"/>
      <c r="V213" s="186"/>
      <c r="W213" s="186"/>
      <c r="X213" s="186"/>
      <c r="Y213" s="186"/>
      <c r="Z213" s="186"/>
      <c r="AA213" s="186"/>
      <c r="AB213" s="186"/>
      <c r="AC213" s="186"/>
      <c r="AD213" s="186"/>
      <c r="AF213" s="150"/>
      <c r="AG213" s="150"/>
      <c r="AH213" s="150"/>
      <c r="AI213" s="150"/>
      <c r="AJ213" s="150"/>
      <c r="AK213" s="150"/>
      <c r="AL213" s="150"/>
      <c r="AM213" s="150"/>
      <c r="AN213" s="150"/>
      <c r="AO213" s="150"/>
      <c r="AP213" s="150"/>
      <c r="AQ213" s="150"/>
      <c r="AT213" s="186"/>
      <c r="AU213" s="186"/>
      <c r="AV213" s="186"/>
      <c r="AW213" s="186"/>
      <c r="AX213" s="186"/>
      <c r="AY213" s="186"/>
      <c r="AZ213" s="186"/>
      <c r="BA213" s="186"/>
      <c r="BB213" s="186"/>
      <c r="BC213" s="186"/>
      <c r="BD213" s="186"/>
      <c r="BE213" s="186"/>
      <c r="BF213" s="150"/>
      <c r="BG213" s="150"/>
      <c r="BI213"/>
      <c r="BJ213"/>
      <c r="BK213"/>
      <c r="BL213"/>
    </row>
    <row r="214" spans="3:64" ht="14.6">
      <c r="C214" s="289"/>
      <c r="D214" s="150"/>
      <c r="E214" s="150"/>
      <c r="F214" s="150"/>
      <c r="G214" s="150"/>
      <c r="H214" s="150"/>
      <c r="I214" s="150"/>
      <c r="J214" s="150"/>
      <c r="K214" s="150"/>
      <c r="L214" s="150"/>
      <c r="M214" s="150"/>
      <c r="N214" s="150"/>
      <c r="O214" s="150"/>
      <c r="P214" s="150"/>
      <c r="Q214" s="150"/>
      <c r="R214" s="150"/>
      <c r="S214" s="150"/>
      <c r="T214" s="186"/>
      <c r="U214" s="186"/>
      <c r="V214" s="186"/>
      <c r="W214" s="186"/>
      <c r="X214" s="186"/>
      <c r="Y214" s="186"/>
      <c r="Z214" s="186"/>
      <c r="AA214" s="186"/>
      <c r="AB214" s="186"/>
      <c r="AC214" s="186"/>
      <c r="AD214" s="186"/>
      <c r="AF214" s="150"/>
      <c r="AG214" s="150"/>
      <c r="AH214" s="150"/>
      <c r="AI214" s="150"/>
      <c r="AJ214" s="150"/>
      <c r="AK214" s="150"/>
      <c r="AL214" s="150"/>
      <c r="AM214" s="150"/>
      <c r="AN214" s="150"/>
      <c r="AO214" s="150"/>
      <c r="AP214" s="150"/>
      <c r="AQ214" s="150"/>
      <c r="AT214" s="186"/>
      <c r="AU214" s="186"/>
      <c r="AV214" s="186"/>
      <c r="AW214" s="186"/>
      <c r="AX214" s="186"/>
      <c r="AY214" s="186"/>
      <c r="AZ214" s="186"/>
      <c r="BA214" s="186"/>
      <c r="BB214" s="186"/>
      <c r="BC214" s="186"/>
      <c r="BD214" s="186"/>
      <c r="BE214" s="186"/>
      <c r="BF214" s="150"/>
      <c r="BG214" s="150"/>
      <c r="BI214"/>
      <c r="BJ214"/>
      <c r="BK214"/>
      <c r="BL214"/>
    </row>
    <row r="215" spans="3:64" ht="14.6">
      <c r="C215" s="289"/>
      <c r="D215" s="150"/>
      <c r="E215" s="150"/>
      <c r="F215" s="150"/>
      <c r="G215" s="150"/>
      <c r="H215" s="150"/>
      <c r="I215" s="150"/>
      <c r="J215" s="150"/>
      <c r="K215" s="150"/>
      <c r="L215" s="150"/>
      <c r="M215" s="150"/>
      <c r="N215" s="150"/>
      <c r="O215" s="150"/>
      <c r="P215" s="150"/>
      <c r="Q215" s="150"/>
      <c r="R215" s="150"/>
      <c r="S215" s="150"/>
      <c r="T215" s="186"/>
      <c r="U215" s="186"/>
      <c r="V215" s="186"/>
      <c r="W215" s="186"/>
      <c r="X215" s="186"/>
      <c r="Y215" s="186"/>
      <c r="Z215" s="186"/>
      <c r="AA215" s="186"/>
      <c r="AB215" s="186"/>
      <c r="AC215" s="186"/>
      <c r="AD215" s="186"/>
      <c r="AF215" s="150"/>
      <c r="AG215" s="150"/>
      <c r="AH215" s="150"/>
      <c r="AI215" s="150"/>
      <c r="AJ215" s="150"/>
      <c r="AK215" s="150"/>
      <c r="AL215" s="150"/>
      <c r="AM215" s="150"/>
      <c r="AN215" s="150"/>
      <c r="AO215" s="150"/>
      <c r="AP215" s="150"/>
      <c r="AQ215" s="150"/>
      <c r="AT215" s="186"/>
      <c r="AU215" s="186"/>
      <c r="AV215" s="186"/>
      <c r="AW215" s="186"/>
      <c r="AX215" s="186"/>
      <c r="AY215" s="186"/>
      <c r="AZ215" s="186"/>
      <c r="BA215" s="186"/>
      <c r="BB215" s="186"/>
      <c r="BC215" s="186"/>
      <c r="BD215" s="186"/>
      <c r="BE215" s="186"/>
      <c r="BF215" s="150"/>
      <c r="BG215" s="150"/>
      <c r="BI215"/>
      <c r="BJ215"/>
      <c r="BK215"/>
      <c r="BL215"/>
    </row>
    <row r="216" spans="3:64" ht="14.6">
      <c r="C216" s="289"/>
      <c r="D216" s="150"/>
      <c r="E216" s="150"/>
      <c r="F216" s="150"/>
      <c r="G216" s="150"/>
      <c r="H216" s="150"/>
      <c r="I216" s="150"/>
      <c r="J216" s="150"/>
      <c r="K216" s="150"/>
      <c r="L216" s="150"/>
      <c r="M216" s="150"/>
      <c r="N216" s="150"/>
      <c r="O216" s="150"/>
      <c r="P216" s="150"/>
      <c r="Q216" s="150"/>
      <c r="R216" s="150"/>
      <c r="S216" s="150"/>
      <c r="T216" s="186"/>
      <c r="U216" s="186"/>
      <c r="V216" s="186"/>
      <c r="W216" s="186"/>
      <c r="X216" s="186"/>
      <c r="Y216" s="186"/>
      <c r="Z216" s="186"/>
      <c r="AA216" s="186"/>
      <c r="AB216" s="186"/>
      <c r="AC216" s="186"/>
      <c r="AD216" s="186"/>
      <c r="AF216" s="150"/>
      <c r="AG216" s="150"/>
      <c r="AH216" s="150"/>
      <c r="AI216" s="150"/>
      <c r="AJ216" s="150"/>
      <c r="AK216" s="150"/>
      <c r="AL216" s="150"/>
      <c r="AM216" s="150"/>
      <c r="AN216" s="150"/>
      <c r="AO216" s="150"/>
      <c r="AP216" s="150"/>
      <c r="AQ216" s="150"/>
      <c r="AT216" s="186"/>
      <c r="AU216" s="186"/>
      <c r="AV216" s="186"/>
      <c r="AW216" s="186"/>
      <c r="AX216" s="186"/>
      <c r="AY216" s="186"/>
      <c r="AZ216" s="186"/>
      <c r="BA216" s="186"/>
      <c r="BB216" s="186"/>
      <c r="BC216" s="186"/>
      <c r="BD216" s="186"/>
      <c r="BE216" s="186"/>
      <c r="BF216" s="150"/>
      <c r="BG216" s="150"/>
      <c r="BI216"/>
      <c r="BJ216"/>
      <c r="BK216"/>
      <c r="BL216"/>
    </row>
    <row r="217" spans="3:64" ht="14.6">
      <c r="C217" s="289"/>
      <c r="D217" s="150"/>
      <c r="E217" s="150"/>
      <c r="F217" s="150"/>
      <c r="G217" s="150"/>
      <c r="H217" s="150"/>
      <c r="I217" s="150"/>
      <c r="J217" s="150"/>
      <c r="K217" s="150"/>
      <c r="L217" s="150"/>
      <c r="M217" s="150"/>
      <c r="N217" s="150"/>
      <c r="O217" s="150"/>
      <c r="P217" s="150"/>
      <c r="Q217" s="150"/>
      <c r="R217" s="150"/>
      <c r="S217" s="150"/>
      <c r="T217" s="186"/>
      <c r="U217" s="186"/>
      <c r="V217" s="186"/>
      <c r="W217" s="186"/>
      <c r="X217" s="186"/>
      <c r="Y217" s="186"/>
      <c r="Z217" s="186"/>
      <c r="AA217" s="186"/>
      <c r="AB217" s="186"/>
      <c r="AC217" s="186"/>
      <c r="AD217" s="186"/>
      <c r="AF217" s="150"/>
      <c r="AG217" s="150"/>
      <c r="AH217" s="150"/>
      <c r="AI217" s="150"/>
      <c r="AJ217" s="150"/>
      <c r="AK217" s="150"/>
      <c r="AL217" s="150"/>
      <c r="AM217" s="150"/>
      <c r="AN217" s="150"/>
      <c r="AO217" s="150"/>
      <c r="AP217" s="150"/>
      <c r="AQ217" s="150"/>
      <c r="AT217" s="186"/>
      <c r="AU217" s="186"/>
      <c r="AV217" s="186"/>
      <c r="AW217" s="186"/>
      <c r="AX217" s="186"/>
      <c r="AY217" s="186"/>
      <c r="AZ217" s="186"/>
      <c r="BA217" s="186"/>
      <c r="BB217" s="186"/>
      <c r="BC217" s="186"/>
      <c r="BD217" s="186"/>
      <c r="BE217" s="186"/>
      <c r="BF217" s="150"/>
      <c r="BG217" s="150"/>
      <c r="BI217"/>
      <c r="BJ217"/>
      <c r="BK217"/>
      <c r="BL217"/>
    </row>
    <row r="218" spans="3:64" ht="14.6">
      <c r="C218" s="289"/>
      <c r="D218" s="150"/>
      <c r="E218" s="150"/>
      <c r="F218" s="150"/>
      <c r="G218" s="150"/>
      <c r="H218" s="150"/>
      <c r="I218" s="150"/>
      <c r="J218" s="150"/>
      <c r="K218" s="150"/>
      <c r="L218" s="150"/>
      <c r="M218" s="150"/>
      <c r="N218" s="150"/>
      <c r="O218" s="150"/>
      <c r="P218" s="150"/>
      <c r="Q218" s="150"/>
      <c r="R218" s="150"/>
      <c r="S218" s="150"/>
      <c r="T218" s="186"/>
      <c r="U218" s="186"/>
      <c r="V218" s="186"/>
      <c r="W218" s="186"/>
      <c r="X218" s="186"/>
      <c r="Y218" s="186"/>
      <c r="Z218" s="186"/>
      <c r="AA218" s="186"/>
      <c r="AB218" s="186"/>
      <c r="AC218" s="186"/>
      <c r="AD218" s="186"/>
      <c r="AF218" s="150"/>
      <c r="AG218" s="150"/>
      <c r="AH218" s="150"/>
      <c r="AI218" s="150"/>
      <c r="AJ218" s="150"/>
      <c r="AK218" s="150"/>
      <c r="AL218" s="150"/>
      <c r="AM218" s="150"/>
      <c r="AN218" s="150"/>
      <c r="AO218" s="150"/>
      <c r="AP218" s="150"/>
      <c r="AQ218" s="150"/>
      <c r="AT218" s="186"/>
      <c r="AU218" s="186"/>
      <c r="AV218" s="186"/>
      <c r="AW218" s="186"/>
      <c r="AX218" s="186"/>
      <c r="AY218" s="186"/>
      <c r="AZ218" s="186"/>
      <c r="BA218" s="186"/>
      <c r="BB218" s="186"/>
      <c r="BC218" s="186"/>
      <c r="BD218" s="186"/>
      <c r="BE218" s="186"/>
      <c r="BF218" s="150"/>
      <c r="BG218" s="150"/>
      <c r="BI218"/>
      <c r="BJ218"/>
      <c r="BK218"/>
      <c r="BL218"/>
    </row>
    <row r="219" spans="3:64" ht="14.6">
      <c r="C219" s="289"/>
      <c r="D219" s="150"/>
      <c r="E219" s="150"/>
      <c r="F219" s="150"/>
      <c r="G219" s="150"/>
      <c r="H219" s="150"/>
      <c r="I219" s="150"/>
      <c r="J219" s="150"/>
      <c r="K219" s="150"/>
      <c r="L219" s="150"/>
      <c r="M219" s="150"/>
      <c r="N219" s="150"/>
      <c r="O219" s="150"/>
      <c r="P219" s="150"/>
      <c r="Q219" s="150"/>
      <c r="R219" s="150"/>
      <c r="S219" s="150"/>
      <c r="T219" s="186"/>
      <c r="U219" s="186"/>
      <c r="V219" s="186"/>
      <c r="W219" s="186"/>
      <c r="X219" s="186"/>
      <c r="Y219" s="186"/>
      <c r="Z219" s="186"/>
      <c r="AA219" s="186"/>
      <c r="AB219" s="186"/>
      <c r="AC219" s="186"/>
      <c r="AD219" s="186"/>
      <c r="AF219" s="150"/>
      <c r="AG219" s="150"/>
      <c r="AH219" s="150"/>
      <c r="AI219" s="150"/>
      <c r="AJ219" s="150"/>
      <c r="AK219" s="150"/>
      <c r="AL219" s="150"/>
      <c r="AM219" s="150"/>
      <c r="AN219" s="150"/>
      <c r="AO219" s="150"/>
      <c r="AP219" s="150"/>
      <c r="AQ219" s="150"/>
      <c r="AT219" s="186"/>
      <c r="AU219" s="186"/>
      <c r="AV219" s="186"/>
      <c r="AW219" s="186"/>
      <c r="AX219" s="186"/>
      <c r="AY219" s="186"/>
      <c r="AZ219" s="186"/>
      <c r="BA219" s="186"/>
      <c r="BB219" s="186"/>
      <c r="BC219" s="186"/>
      <c r="BD219" s="186"/>
      <c r="BE219" s="186"/>
      <c r="BF219" s="150"/>
      <c r="BG219" s="150"/>
      <c r="BI219"/>
      <c r="BJ219"/>
      <c r="BK219"/>
      <c r="BL219"/>
    </row>
    <row r="220" spans="3:64" ht="14.6">
      <c r="C220" s="289"/>
      <c r="D220" s="150"/>
      <c r="E220" s="150"/>
      <c r="F220" s="150"/>
      <c r="G220" s="150"/>
      <c r="H220" s="150"/>
      <c r="I220" s="150"/>
      <c r="J220" s="150"/>
      <c r="K220" s="150"/>
      <c r="L220" s="150"/>
      <c r="M220" s="150"/>
      <c r="N220" s="150"/>
      <c r="O220" s="150"/>
      <c r="P220" s="150"/>
      <c r="Q220" s="150"/>
      <c r="R220" s="150"/>
      <c r="S220" s="150"/>
      <c r="T220" s="186"/>
      <c r="U220" s="186"/>
      <c r="V220" s="186"/>
      <c r="W220" s="186"/>
      <c r="X220" s="186"/>
      <c r="Y220" s="186"/>
      <c r="Z220" s="186"/>
      <c r="AA220" s="186"/>
      <c r="AB220" s="186"/>
      <c r="AC220" s="186"/>
      <c r="AD220" s="186"/>
      <c r="AF220" s="150"/>
      <c r="AG220" s="150"/>
      <c r="AH220" s="150"/>
      <c r="AI220" s="150"/>
      <c r="AJ220" s="150"/>
      <c r="AK220" s="150"/>
      <c r="AL220" s="150"/>
      <c r="AM220" s="150"/>
      <c r="AN220" s="150"/>
      <c r="AO220" s="150"/>
      <c r="AP220" s="150"/>
      <c r="AQ220" s="150"/>
      <c r="AT220" s="186"/>
      <c r="AU220" s="186"/>
      <c r="AV220" s="186"/>
      <c r="AW220" s="186"/>
      <c r="AX220" s="186"/>
      <c r="AY220" s="186"/>
      <c r="AZ220" s="186"/>
      <c r="BA220" s="186"/>
      <c r="BB220" s="186"/>
      <c r="BC220" s="186"/>
      <c r="BD220" s="186"/>
      <c r="BE220" s="186"/>
      <c r="BF220" s="150"/>
      <c r="BG220" s="150"/>
      <c r="BI220"/>
      <c r="BJ220"/>
      <c r="BK220"/>
      <c r="BL220"/>
    </row>
    <row r="221" spans="3:64" ht="14.6">
      <c r="C221" s="289"/>
      <c r="D221" s="150"/>
      <c r="E221" s="150"/>
      <c r="F221" s="150"/>
      <c r="G221" s="150"/>
      <c r="H221" s="150"/>
      <c r="I221" s="150"/>
      <c r="J221" s="150"/>
      <c r="K221" s="150"/>
      <c r="L221" s="150"/>
      <c r="M221" s="150"/>
      <c r="N221" s="150"/>
      <c r="O221" s="150"/>
      <c r="P221" s="150"/>
      <c r="Q221" s="150"/>
      <c r="R221" s="150"/>
      <c r="S221" s="150"/>
      <c r="T221" s="186"/>
      <c r="U221" s="186"/>
      <c r="V221" s="186"/>
      <c r="W221" s="186"/>
      <c r="X221" s="186"/>
      <c r="Y221" s="186"/>
      <c r="Z221" s="186"/>
      <c r="AA221" s="186"/>
      <c r="AB221" s="186"/>
      <c r="AC221" s="186"/>
      <c r="AD221" s="186"/>
      <c r="AF221" s="150"/>
      <c r="AG221" s="150"/>
      <c r="AH221" s="150"/>
      <c r="AI221" s="150"/>
      <c r="AJ221" s="150"/>
      <c r="AK221" s="150"/>
      <c r="AL221" s="150"/>
      <c r="AM221" s="150"/>
      <c r="AN221" s="150"/>
      <c r="AO221" s="150"/>
      <c r="AP221" s="150"/>
      <c r="AQ221" s="150"/>
      <c r="AT221" s="186"/>
      <c r="AU221" s="186"/>
      <c r="AV221" s="186"/>
      <c r="AW221" s="186"/>
      <c r="AX221" s="186"/>
      <c r="AY221" s="186"/>
      <c r="AZ221" s="186"/>
      <c r="BA221" s="186"/>
      <c r="BB221" s="186"/>
      <c r="BC221" s="186"/>
      <c r="BD221" s="186"/>
      <c r="BE221" s="186"/>
      <c r="BF221" s="150"/>
      <c r="BG221" s="150"/>
      <c r="BI221"/>
      <c r="BJ221"/>
      <c r="BK221"/>
      <c r="BL221"/>
    </row>
    <row r="222" spans="3:64" ht="14.6">
      <c r="C222" s="289"/>
      <c r="D222" s="150"/>
      <c r="E222" s="150"/>
      <c r="F222" s="150"/>
      <c r="G222" s="150"/>
      <c r="H222" s="150"/>
      <c r="I222" s="150"/>
      <c r="J222" s="150"/>
      <c r="K222" s="150"/>
      <c r="L222" s="150"/>
      <c r="M222" s="150"/>
      <c r="N222" s="150"/>
      <c r="O222" s="150"/>
      <c r="P222" s="150"/>
      <c r="Q222" s="150"/>
      <c r="R222" s="150"/>
      <c r="S222" s="150"/>
      <c r="T222" s="186"/>
      <c r="U222" s="186"/>
      <c r="V222" s="186"/>
      <c r="W222" s="186"/>
      <c r="X222" s="186"/>
      <c r="Y222" s="186"/>
      <c r="Z222" s="186"/>
      <c r="AA222" s="186"/>
      <c r="AB222" s="186"/>
      <c r="AC222" s="186"/>
      <c r="AD222" s="186"/>
      <c r="AF222" s="150"/>
      <c r="AG222" s="150"/>
      <c r="AH222" s="150"/>
      <c r="AI222" s="150"/>
      <c r="AJ222" s="150"/>
      <c r="AK222" s="150"/>
      <c r="AL222" s="150"/>
      <c r="AM222" s="150"/>
      <c r="AN222" s="150"/>
      <c r="AO222" s="150"/>
      <c r="AP222" s="150"/>
      <c r="AQ222" s="150"/>
      <c r="AT222" s="186"/>
      <c r="AU222" s="186"/>
      <c r="AV222" s="186"/>
      <c r="AW222" s="186"/>
      <c r="AX222" s="186"/>
      <c r="AY222" s="186"/>
      <c r="AZ222" s="186"/>
      <c r="BA222" s="186"/>
      <c r="BB222" s="186"/>
      <c r="BC222" s="186"/>
      <c r="BD222" s="186"/>
      <c r="BE222" s="186"/>
      <c r="BF222" s="150"/>
      <c r="BG222" s="150"/>
      <c r="BI222"/>
      <c r="BJ222"/>
      <c r="BK222"/>
      <c r="BL222"/>
    </row>
    <row r="223" spans="3:64" ht="14.6">
      <c r="C223" s="289"/>
      <c r="D223" s="150"/>
      <c r="E223" s="150"/>
      <c r="F223" s="150"/>
      <c r="G223" s="150"/>
      <c r="H223" s="150"/>
      <c r="I223" s="150"/>
      <c r="J223" s="150"/>
      <c r="K223" s="150"/>
      <c r="L223" s="150"/>
      <c r="M223" s="150"/>
      <c r="N223" s="150"/>
      <c r="O223" s="150"/>
      <c r="P223" s="150"/>
      <c r="Q223" s="150"/>
      <c r="R223" s="150"/>
      <c r="S223" s="150"/>
      <c r="T223" s="186"/>
      <c r="U223" s="186"/>
      <c r="V223" s="186"/>
      <c r="W223" s="186"/>
      <c r="X223" s="186"/>
      <c r="Y223" s="186"/>
      <c r="Z223" s="186"/>
      <c r="AA223" s="186"/>
      <c r="AB223" s="186"/>
      <c r="AC223" s="186"/>
      <c r="AD223" s="186"/>
      <c r="AF223" s="150"/>
      <c r="AG223" s="150"/>
      <c r="AH223" s="150"/>
      <c r="AI223" s="150"/>
      <c r="AJ223" s="150"/>
      <c r="AK223" s="150"/>
      <c r="AL223" s="150"/>
      <c r="AM223" s="150"/>
      <c r="AN223" s="150"/>
      <c r="AO223" s="150"/>
      <c r="AP223" s="150"/>
      <c r="AQ223" s="150"/>
      <c r="AT223" s="186"/>
      <c r="AU223" s="186"/>
      <c r="AV223" s="186"/>
      <c r="AW223" s="186"/>
      <c r="AX223" s="186"/>
      <c r="AY223" s="186"/>
      <c r="AZ223" s="186"/>
      <c r="BA223" s="186"/>
      <c r="BB223" s="186"/>
      <c r="BC223" s="186"/>
      <c r="BD223" s="186"/>
      <c r="BE223" s="186"/>
      <c r="BF223" s="150"/>
      <c r="BG223" s="150"/>
      <c r="BI223"/>
      <c r="BJ223"/>
      <c r="BK223"/>
      <c r="BL223"/>
    </row>
    <row r="224" spans="3:64" ht="14.6">
      <c r="C224" s="289"/>
      <c r="D224" s="150"/>
      <c r="E224" s="150"/>
      <c r="F224" s="150"/>
      <c r="G224" s="150"/>
      <c r="H224" s="150"/>
      <c r="I224" s="150"/>
      <c r="J224" s="150"/>
      <c r="K224" s="150"/>
      <c r="L224" s="150"/>
      <c r="M224" s="150"/>
      <c r="N224" s="150"/>
      <c r="O224" s="150"/>
      <c r="P224" s="150"/>
      <c r="Q224" s="150"/>
      <c r="R224" s="150"/>
      <c r="S224" s="150"/>
      <c r="T224" s="186"/>
      <c r="U224" s="186"/>
      <c r="V224" s="186"/>
      <c r="W224" s="186"/>
      <c r="X224" s="186"/>
      <c r="Y224" s="186"/>
      <c r="Z224" s="186"/>
      <c r="AA224" s="186"/>
      <c r="AB224" s="186"/>
      <c r="AC224" s="186"/>
      <c r="AD224" s="186"/>
      <c r="AF224" s="150"/>
      <c r="AG224" s="150"/>
      <c r="AH224" s="150"/>
      <c r="AI224" s="150"/>
      <c r="AJ224" s="150"/>
      <c r="AK224" s="150"/>
      <c r="AL224" s="150"/>
      <c r="AM224" s="150"/>
      <c r="AN224" s="150"/>
      <c r="AO224" s="150"/>
      <c r="AP224" s="150"/>
      <c r="AQ224" s="150"/>
      <c r="AT224" s="186"/>
      <c r="AU224" s="186"/>
      <c r="AV224" s="186"/>
      <c r="AW224" s="186"/>
      <c r="AX224" s="186"/>
      <c r="AY224" s="186"/>
      <c r="AZ224" s="186"/>
      <c r="BA224" s="186"/>
      <c r="BB224" s="186"/>
      <c r="BC224" s="186"/>
      <c r="BD224" s="186"/>
      <c r="BE224" s="186"/>
      <c r="BF224" s="150"/>
      <c r="BG224" s="150"/>
      <c r="BI224"/>
      <c r="BJ224"/>
      <c r="BK224"/>
      <c r="BL224"/>
    </row>
    <row r="225" spans="3:64" ht="14.6">
      <c r="C225" s="289"/>
      <c r="D225" s="150"/>
      <c r="E225" s="150"/>
      <c r="F225" s="150"/>
      <c r="G225" s="150"/>
      <c r="H225" s="150"/>
      <c r="I225" s="150"/>
      <c r="J225" s="150"/>
      <c r="K225" s="150"/>
      <c r="L225" s="150"/>
      <c r="M225" s="150"/>
      <c r="N225" s="150"/>
      <c r="O225" s="150"/>
      <c r="P225" s="150"/>
      <c r="Q225" s="150"/>
      <c r="R225" s="150"/>
      <c r="S225" s="150"/>
      <c r="T225" s="186"/>
      <c r="U225" s="186"/>
      <c r="V225" s="186"/>
      <c r="W225" s="186"/>
      <c r="X225" s="186"/>
      <c r="Y225" s="186"/>
      <c r="Z225" s="186"/>
      <c r="AA225" s="186"/>
      <c r="AB225" s="186"/>
      <c r="AC225" s="186"/>
      <c r="AD225" s="186"/>
      <c r="AF225" s="150"/>
      <c r="AG225" s="150"/>
      <c r="AH225" s="150"/>
      <c r="AI225" s="150"/>
      <c r="AJ225" s="150"/>
      <c r="AK225" s="150"/>
      <c r="AL225" s="150"/>
      <c r="AM225" s="150"/>
      <c r="AN225" s="150"/>
      <c r="AO225" s="150"/>
      <c r="AP225" s="150"/>
      <c r="AQ225" s="150"/>
      <c r="AT225" s="186"/>
      <c r="AU225" s="186"/>
      <c r="AV225" s="186"/>
      <c r="AW225" s="186"/>
      <c r="AX225" s="186"/>
      <c r="AY225" s="186"/>
      <c r="AZ225" s="186"/>
      <c r="BA225" s="186"/>
      <c r="BB225" s="186"/>
      <c r="BC225" s="186"/>
      <c r="BD225" s="186"/>
      <c r="BE225" s="186"/>
      <c r="BF225" s="150"/>
      <c r="BG225" s="150"/>
      <c r="BI225"/>
      <c r="BJ225"/>
      <c r="BK225"/>
      <c r="BL225"/>
    </row>
    <row r="226" spans="3:64" ht="14.6">
      <c r="C226" s="289"/>
      <c r="D226" s="150"/>
      <c r="E226" s="150"/>
      <c r="F226" s="150"/>
      <c r="G226" s="150"/>
      <c r="H226" s="150"/>
      <c r="I226" s="150"/>
      <c r="J226" s="150"/>
      <c r="K226" s="150"/>
      <c r="L226" s="150"/>
      <c r="M226" s="150"/>
      <c r="N226" s="150"/>
      <c r="O226" s="150"/>
      <c r="P226" s="150"/>
      <c r="Q226" s="150"/>
      <c r="R226" s="150"/>
      <c r="S226" s="150"/>
      <c r="T226" s="186"/>
      <c r="U226" s="186"/>
      <c r="V226" s="186"/>
      <c r="W226" s="186"/>
      <c r="X226" s="186"/>
      <c r="Y226" s="186"/>
      <c r="Z226" s="186"/>
      <c r="AA226" s="186"/>
      <c r="AB226" s="186"/>
      <c r="AC226" s="186"/>
      <c r="AD226" s="186"/>
      <c r="AF226" s="150"/>
      <c r="AG226" s="150"/>
      <c r="AH226" s="150"/>
      <c r="AI226" s="150"/>
      <c r="AJ226" s="150"/>
      <c r="AK226" s="150"/>
      <c r="AL226" s="150"/>
      <c r="AM226" s="150"/>
      <c r="AN226" s="150"/>
      <c r="AO226" s="150"/>
      <c r="AP226" s="150"/>
      <c r="AQ226" s="150"/>
      <c r="AT226" s="186"/>
      <c r="AU226" s="186"/>
      <c r="AV226" s="186"/>
      <c r="AW226" s="186"/>
      <c r="AX226" s="186"/>
      <c r="AY226" s="186"/>
      <c r="AZ226" s="186"/>
      <c r="BA226" s="186"/>
      <c r="BB226" s="186"/>
      <c r="BC226" s="186"/>
      <c r="BD226" s="186"/>
      <c r="BE226" s="186"/>
      <c r="BF226" s="150"/>
      <c r="BG226" s="150"/>
      <c r="BI226"/>
      <c r="BJ226"/>
      <c r="BK226"/>
      <c r="BL226"/>
    </row>
    <row r="227" spans="3:64" ht="14.6">
      <c r="C227" s="289"/>
      <c r="D227" s="150"/>
      <c r="E227" s="150"/>
      <c r="F227" s="150"/>
      <c r="G227" s="150"/>
      <c r="H227" s="150"/>
      <c r="I227" s="150"/>
      <c r="J227" s="150"/>
      <c r="K227" s="150"/>
      <c r="L227" s="150"/>
      <c r="M227" s="150"/>
      <c r="N227" s="150"/>
      <c r="O227" s="150"/>
      <c r="P227" s="150"/>
      <c r="Q227" s="150"/>
      <c r="R227" s="150"/>
      <c r="S227" s="150"/>
      <c r="T227" s="186"/>
      <c r="U227" s="186"/>
      <c r="V227" s="186"/>
      <c r="W227" s="186"/>
      <c r="X227" s="186"/>
      <c r="Y227" s="186"/>
      <c r="Z227" s="186"/>
      <c r="AA227" s="186"/>
      <c r="AB227" s="186"/>
      <c r="AC227" s="186"/>
      <c r="AD227" s="186"/>
      <c r="AF227" s="150"/>
      <c r="AG227" s="150"/>
      <c r="AH227" s="150"/>
      <c r="AI227" s="150"/>
      <c r="AJ227" s="150"/>
      <c r="AK227" s="150"/>
      <c r="AL227" s="150"/>
      <c r="AM227" s="150"/>
      <c r="AN227" s="150"/>
      <c r="AO227" s="150"/>
      <c r="AP227" s="150"/>
      <c r="AQ227" s="150"/>
      <c r="AT227" s="186"/>
      <c r="AU227" s="186"/>
      <c r="AV227" s="186"/>
      <c r="AW227" s="186"/>
      <c r="AX227" s="186"/>
      <c r="AY227" s="186"/>
      <c r="AZ227" s="186"/>
      <c r="BA227" s="186"/>
      <c r="BB227" s="186"/>
      <c r="BC227" s="186"/>
      <c r="BD227" s="186"/>
      <c r="BE227" s="186"/>
      <c r="BF227" s="150"/>
      <c r="BG227" s="150"/>
      <c r="BI227"/>
      <c r="BJ227"/>
      <c r="BK227"/>
      <c r="BL227"/>
    </row>
    <row r="228" spans="3:64" ht="14.6">
      <c r="C228" s="289"/>
      <c r="D228" s="150"/>
      <c r="E228" s="150"/>
      <c r="F228" s="150"/>
      <c r="G228" s="150"/>
      <c r="H228" s="150"/>
      <c r="I228" s="150"/>
      <c r="J228" s="150"/>
      <c r="K228" s="150"/>
      <c r="L228" s="150"/>
      <c r="M228" s="150"/>
      <c r="N228" s="150"/>
      <c r="O228" s="150"/>
      <c r="P228" s="150"/>
      <c r="Q228" s="150"/>
      <c r="R228" s="150"/>
      <c r="S228" s="150"/>
      <c r="T228" s="186"/>
      <c r="U228" s="186"/>
      <c r="V228" s="186"/>
      <c r="W228" s="186"/>
      <c r="X228" s="186"/>
      <c r="Y228" s="186"/>
      <c r="Z228" s="186"/>
      <c r="AA228" s="186"/>
      <c r="AB228" s="186"/>
      <c r="AC228" s="186"/>
      <c r="AD228" s="186"/>
      <c r="AF228" s="150"/>
      <c r="AG228" s="150"/>
      <c r="AH228" s="150"/>
      <c r="AI228" s="150"/>
      <c r="AJ228" s="150"/>
      <c r="AK228" s="150"/>
      <c r="AL228" s="150"/>
      <c r="AM228" s="150"/>
      <c r="AN228" s="150"/>
      <c r="AO228" s="150"/>
      <c r="AP228" s="150"/>
      <c r="AQ228" s="150"/>
      <c r="AT228" s="186"/>
      <c r="AU228" s="186"/>
      <c r="AV228" s="186"/>
      <c r="AW228" s="186"/>
      <c r="AX228" s="186"/>
      <c r="AY228" s="186"/>
      <c r="AZ228" s="186"/>
      <c r="BA228" s="186"/>
      <c r="BB228" s="186"/>
      <c r="BC228" s="186"/>
      <c r="BD228" s="186"/>
      <c r="BE228" s="186"/>
      <c r="BF228" s="150"/>
      <c r="BG228" s="150"/>
      <c r="BI228"/>
      <c r="BJ228"/>
      <c r="BK228"/>
      <c r="BL228"/>
    </row>
    <row r="229" spans="3:64" ht="14.6">
      <c r="C229" s="289"/>
      <c r="D229" s="150"/>
      <c r="E229" s="150"/>
      <c r="F229" s="150"/>
      <c r="G229" s="150"/>
      <c r="H229" s="150"/>
      <c r="I229" s="150"/>
      <c r="J229" s="150"/>
      <c r="K229" s="150"/>
      <c r="L229" s="150"/>
      <c r="M229" s="150"/>
      <c r="N229" s="150"/>
      <c r="O229" s="150"/>
      <c r="P229" s="150"/>
      <c r="Q229" s="150"/>
      <c r="R229" s="150"/>
      <c r="S229" s="150"/>
      <c r="T229" s="186"/>
      <c r="U229" s="186"/>
      <c r="V229" s="186"/>
      <c r="W229" s="186"/>
      <c r="X229" s="186"/>
      <c r="Y229" s="186"/>
      <c r="Z229" s="186"/>
      <c r="AA229" s="186"/>
      <c r="AB229" s="186"/>
      <c r="AC229" s="186"/>
      <c r="AD229" s="186"/>
      <c r="AF229" s="150"/>
      <c r="AG229" s="150"/>
      <c r="AH229" s="150"/>
      <c r="AI229" s="150"/>
      <c r="AJ229" s="150"/>
      <c r="AK229" s="150"/>
      <c r="AL229" s="150"/>
      <c r="AM229" s="150"/>
      <c r="AN229" s="150"/>
      <c r="AO229" s="150"/>
      <c r="AP229" s="150"/>
      <c r="AQ229" s="150"/>
      <c r="AT229" s="186"/>
      <c r="AU229" s="186"/>
      <c r="AV229" s="186"/>
      <c r="AW229" s="186"/>
      <c r="AX229" s="186"/>
      <c r="AY229" s="186"/>
      <c r="AZ229" s="186"/>
      <c r="BA229" s="186"/>
      <c r="BB229" s="186"/>
      <c r="BC229" s="186"/>
      <c r="BD229" s="186"/>
      <c r="BE229" s="186"/>
      <c r="BF229" s="150"/>
      <c r="BG229" s="150"/>
      <c r="BI229"/>
      <c r="BJ229"/>
      <c r="BK229"/>
      <c r="BL229"/>
    </row>
    <row r="230" spans="3:64" ht="14.6">
      <c r="C230" s="289"/>
      <c r="D230" s="150"/>
      <c r="E230" s="150"/>
      <c r="F230" s="150"/>
      <c r="G230" s="150"/>
      <c r="H230" s="150"/>
      <c r="I230" s="150"/>
      <c r="J230" s="150"/>
      <c r="K230" s="150"/>
      <c r="L230" s="150"/>
      <c r="M230" s="150"/>
      <c r="N230" s="150"/>
      <c r="O230" s="150"/>
      <c r="P230" s="150"/>
      <c r="Q230" s="150"/>
      <c r="R230" s="150"/>
      <c r="S230" s="150"/>
      <c r="T230" s="186"/>
      <c r="U230" s="186"/>
      <c r="V230" s="186"/>
      <c r="W230" s="186"/>
      <c r="X230" s="186"/>
      <c r="Y230" s="186"/>
      <c r="Z230" s="186"/>
      <c r="AA230" s="186"/>
      <c r="AB230" s="186"/>
      <c r="AC230" s="186"/>
      <c r="AD230" s="186"/>
      <c r="AF230" s="150"/>
      <c r="AG230" s="150"/>
      <c r="AH230" s="150"/>
      <c r="AI230" s="150"/>
      <c r="AJ230" s="150"/>
      <c r="AK230" s="150"/>
      <c r="AL230" s="150"/>
      <c r="AM230" s="150"/>
      <c r="AN230" s="150"/>
      <c r="AO230" s="150"/>
      <c r="AP230" s="150"/>
      <c r="AQ230" s="150"/>
      <c r="AT230" s="186"/>
      <c r="AU230" s="186"/>
      <c r="AV230" s="186"/>
      <c r="AW230" s="186"/>
      <c r="AX230" s="186"/>
      <c r="AY230" s="186"/>
      <c r="AZ230" s="186"/>
      <c r="BA230" s="186"/>
      <c r="BB230" s="186"/>
      <c r="BC230" s="186"/>
      <c r="BD230" s="186"/>
      <c r="BE230" s="186"/>
      <c r="BF230" s="150"/>
      <c r="BG230" s="150"/>
      <c r="BI230"/>
      <c r="BJ230"/>
      <c r="BK230"/>
      <c r="BL230"/>
    </row>
    <row r="231" spans="3:64" ht="14.6">
      <c r="C231" s="289"/>
      <c r="D231" s="150"/>
      <c r="E231" s="150"/>
      <c r="F231" s="150"/>
      <c r="G231" s="150"/>
      <c r="H231" s="150"/>
      <c r="I231" s="150"/>
      <c r="J231" s="150"/>
      <c r="K231" s="150"/>
      <c r="L231" s="150"/>
      <c r="M231" s="150"/>
      <c r="N231" s="150"/>
      <c r="O231" s="150"/>
      <c r="P231" s="150"/>
      <c r="Q231" s="150"/>
      <c r="R231" s="150"/>
      <c r="S231" s="150"/>
      <c r="T231" s="186"/>
      <c r="U231" s="186"/>
      <c r="V231" s="186"/>
      <c r="W231" s="186"/>
      <c r="X231" s="186"/>
      <c r="Y231" s="186"/>
      <c r="Z231" s="186"/>
      <c r="AA231" s="186"/>
      <c r="AB231" s="186"/>
      <c r="AC231" s="186"/>
      <c r="AD231" s="186"/>
      <c r="AF231" s="150"/>
      <c r="AG231" s="150"/>
      <c r="AH231" s="150"/>
      <c r="AI231" s="150"/>
      <c r="AJ231" s="150"/>
      <c r="AK231" s="150"/>
      <c r="AL231" s="150"/>
      <c r="AM231" s="150"/>
      <c r="AN231" s="150"/>
      <c r="AO231" s="150"/>
      <c r="AP231" s="150"/>
      <c r="AQ231" s="150"/>
      <c r="AT231" s="186"/>
      <c r="AU231" s="186"/>
      <c r="AV231" s="186"/>
      <c r="AW231" s="186"/>
      <c r="AX231" s="186"/>
      <c r="AY231" s="186"/>
      <c r="AZ231" s="186"/>
      <c r="BA231" s="186"/>
      <c r="BB231" s="186"/>
      <c r="BC231" s="186"/>
      <c r="BD231" s="186"/>
      <c r="BE231" s="186"/>
      <c r="BF231" s="150"/>
      <c r="BG231" s="150"/>
      <c r="BI231"/>
      <c r="BJ231"/>
      <c r="BK231"/>
      <c r="BL231"/>
    </row>
    <row r="232" spans="3:64" ht="14.6">
      <c r="C232" s="289"/>
      <c r="D232" s="150"/>
      <c r="E232" s="150"/>
      <c r="F232" s="150"/>
      <c r="G232" s="150"/>
      <c r="H232" s="150"/>
      <c r="I232" s="150"/>
      <c r="J232" s="150"/>
      <c r="K232" s="150"/>
      <c r="L232" s="150"/>
      <c r="M232" s="150"/>
      <c r="N232" s="150"/>
      <c r="O232" s="150"/>
      <c r="P232" s="150"/>
      <c r="Q232" s="150"/>
      <c r="R232" s="150"/>
      <c r="S232" s="150"/>
      <c r="T232" s="186"/>
      <c r="U232" s="186"/>
      <c r="V232" s="186"/>
      <c r="W232" s="186"/>
      <c r="X232" s="186"/>
      <c r="Y232" s="186"/>
      <c r="Z232" s="186"/>
      <c r="AA232" s="186"/>
      <c r="AB232" s="186"/>
      <c r="AC232" s="186"/>
      <c r="AD232" s="186"/>
      <c r="AF232" s="150"/>
      <c r="AG232" s="150"/>
      <c r="AH232" s="150"/>
      <c r="AI232" s="150"/>
      <c r="AJ232" s="150"/>
      <c r="AK232" s="150"/>
      <c r="AL232" s="150"/>
      <c r="AM232" s="150"/>
      <c r="AN232" s="150"/>
      <c r="AO232" s="150"/>
      <c r="AP232" s="150"/>
      <c r="AQ232" s="150"/>
      <c r="AT232" s="186"/>
      <c r="AU232" s="186"/>
      <c r="AV232" s="186"/>
      <c r="AW232" s="186"/>
      <c r="AX232" s="186"/>
      <c r="AY232" s="186"/>
      <c r="AZ232" s="186"/>
      <c r="BA232" s="186"/>
      <c r="BB232" s="186"/>
      <c r="BC232" s="186"/>
      <c r="BD232" s="186"/>
      <c r="BE232" s="186"/>
      <c r="BF232" s="150"/>
      <c r="BG232" s="150"/>
      <c r="BI232"/>
      <c r="BJ232"/>
      <c r="BK232"/>
      <c r="BL232"/>
    </row>
    <row r="233" spans="3:64" ht="14.6">
      <c r="C233" s="289"/>
      <c r="D233" s="150"/>
      <c r="E233" s="150"/>
      <c r="F233" s="150"/>
      <c r="G233" s="150"/>
      <c r="H233" s="150"/>
      <c r="I233" s="150"/>
      <c r="J233" s="150"/>
      <c r="K233" s="150"/>
      <c r="L233" s="150"/>
      <c r="M233" s="150"/>
      <c r="N233" s="150"/>
      <c r="O233" s="150"/>
      <c r="P233" s="150"/>
      <c r="Q233" s="150"/>
      <c r="R233" s="150"/>
      <c r="S233" s="150"/>
      <c r="T233" s="186"/>
      <c r="U233" s="186"/>
      <c r="V233" s="186"/>
      <c r="W233" s="186"/>
      <c r="X233" s="186"/>
      <c r="Y233" s="186"/>
      <c r="Z233" s="186"/>
      <c r="AA233" s="186"/>
      <c r="AB233" s="186"/>
      <c r="AC233" s="186"/>
      <c r="AD233" s="186"/>
      <c r="AF233" s="150"/>
      <c r="AG233" s="150"/>
      <c r="AH233" s="150"/>
      <c r="AI233" s="150"/>
      <c r="AJ233" s="150"/>
      <c r="AK233" s="150"/>
      <c r="AL233" s="150"/>
      <c r="AM233" s="150"/>
      <c r="AN233" s="150"/>
      <c r="AO233" s="150"/>
      <c r="AP233" s="150"/>
      <c r="AQ233" s="150"/>
      <c r="AT233" s="186"/>
      <c r="AU233" s="186"/>
      <c r="AV233" s="186"/>
      <c r="AW233" s="186"/>
      <c r="AX233" s="186"/>
      <c r="AY233" s="186"/>
      <c r="AZ233" s="186"/>
      <c r="BA233" s="186"/>
      <c r="BB233" s="186"/>
      <c r="BC233" s="186"/>
      <c r="BD233" s="186"/>
      <c r="BE233" s="186"/>
      <c r="BF233" s="150"/>
      <c r="BG233" s="150"/>
      <c r="BI233"/>
      <c r="BJ233"/>
      <c r="BK233"/>
      <c r="BL233"/>
    </row>
    <row r="234" spans="3:64" ht="14.6">
      <c r="C234" s="289"/>
      <c r="D234" s="150"/>
      <c r="E234" s="150"/>
      <c r="F234" s="150"/>
      <c r="G234" s="150"/>
      <c r="H234" s="150"/>
      <c r="I234" s="150"/>
      <c r="J234" s="150"/>
      <c r="K234" s="150"/>
      <c r="L234" s="150"/>
      <c r="M234" s="150"/>
      <c r="N234" s="150"/>
      <c r="O234" s="150"/>
      <c r="P234" s="150"/>
      <c r="Q234" s="150"/>
      <c r="R234" s="150"/>
      <c r="S234" s="150"/>
      <c r="T234" s="186"/>
      <c r="U234" s="186"/>
      <c r="V234" s="186"/>
      <c r="W234" s="186"/>
      <c r="X234" s="186"/>
      <c r="Y234" s="186"/>
      <c r="Z234" s="186"/>
      <c r="AA234" s="186"/>
      <c r="AB234" s="186"/>
      <c r="AC234" s="186"/>
      <c r="AD234" s="186"/>
      <c r="AF234" s="150"/>
      <c r="AG234" s="150"/>
      <c r="AH234" s="150"/>
      <c r="AI234" s="150"/>
      <c r="AJ234" s="150"/>
      <c r="AK234" s="150"/>
      <c r="AL234" s="150"/>
      <c r="AM234" s="150"/>
      <c r="AN234" s="150"/>
      <c r="AO234" s="150"/>
      <c r="AP234" s="150"/>
      <c r="AQ234" s="150"/>
      <c r="AT234" s="186"/>
      <c r="AU234" s="186"/>
      <c r="AV234" s="186"/>
      <c r="AW234" s="186"/>
      <c r="AX234" s="186"/>
      <c r="AY234" s="186"/>
      <c r="AZ234" s="186"/>
      <c r="BA234" s="186"/>
      <c r="BB234" s="186"/>
      <c r="BC234" s="186"/>
      <c r="BD234" s="186"/>
      <c r="BE234" s="186"/>
      <c r="BF234" s="150"/>
      <c r="BG234" s="150"/>
      <c r="BI234"/>
      <c r="BJ234"/>
      <c r="BK234"/>
      <c r="BL234"/>
    </row>
    <row r="235" spans="3:64" ht="14.6">
      <c r="C235" s="289"/>
      <c r="D235" s="150"/>
      <c r="E235" s="150"/>
      <c r="F235" s="150"/>
      <c r="G235" s="150"/>
      <c r="H235" s="150"/>
      <c r="I235" s="150"/>
      <c r="J235" s="150"/>
      <c r="K235" s="150"/>
      <c r="L235" s="150"/>
      <c r="M235" s="150"/>
      <c r="N235" s="150"/>
      <c r="O235" s="150"/>
      <c r="P235" s="150"/>
      <c r="Q235" s="150"/>
      <c r="R235" s="150"/>
      <c r="S235" s="150"/>
      <c r="T235" s="186"/>
      <c r="U235" s="186"/>
      <c r="V235" s="186"/>
      <c r="W235" s="186"/>
      <c r="X235" s="186"/>
      <c r="Y235" s="186"/>
      <c r="Z235" s="186"/>
      <c r="AA235" s="186"/>
      <c r="AB235" s="186"/>
      <c r="AC235" s="186"/>
      <c r="AD235" s="186"/>
      <c r="AF235" s="150"/>
      <c r="AG235" s="150"/>
      <c r="AH235" s="150"/>
      <c r="AI235" s="150"/>
      <c r="AJ235" s="150"/>
      <c r="AK235" s="150"/>
      <c r="AL235" s="150"/>
      <c r="AM235" s="150"/>
      <c r="AN235" s="150"/>
      <c r="AO235" s="150"/>
      <c r="AP235" s="150"/>
      <c r="AQ235" s="150"/>
      <c r="AT235" s="186"/>
      <c r="AU235" s="186"/>
      <c r="AV235" s="186"/>
      <c r="AW235" s="186"/>
      <c r="AX235" s="186"/>
      <c r="AY235" s="186"/>
      <c r="AZ235" s="186"/>
      <c r="BA235" s="186"/>
      <c r="BB235" s="186"/>
      <c r="BC235" s="186"/>
      <c r="BD235" s="186"/>
      <c r="BE235" s="186"/>
      <c r="BF235" s="150"/>
      <c r="BG235" s="150"/>
      <c r="BI235"/>
      <c r="BJ235"/>
      <c r="BK235"/>
      <c r="BL235"/>
    </row>
    <row r="236" spans="3:64" ht="14.6">
      <c r="C236" s="289"/>
      <c r="D236" s="150"/>
      <c r="E236" s="150"/>
      <c r="F236" s="150"/>
      <c r="G236" s="150"/>
      <c r="H236" s="150"/>
      <c r="I236" s="150"/>
      <c r="J236" s="150"/>
      <c r="K236" s="150"/>
      <c r="L236" s="150"/>
      <c r="M236" s="150"/>
      <c r="N236" s="150"/>
      <c r="O236" s="150"/>
      <c r="P236" s="150"/>
      <c r="Q236" s="150"/>
      <c r="R236" s="150"/>
      <c r="S236" s="150"/>
      <c r="T236" s="186"/>
      <c r="U236" s="186"/>
      <c r="V236" s="186"/>
      <c r="W236" s="186"/>
      <c r="X236" s="186"/>
      <c r="Y236" s="186"/>
      <c r="Z236" s="186"/>
      <c r="AA236" s="186"/>
      <c r="AB236" s="186"/>
      <c r="AC236" s="186"/>
      <c r="AD236" s="186"/>
      <c r="AF236" s="150"/>
      <c r="AG236" s="150"/>
      <c r="AH236" s="150"/>
      <c r="AI236" s="150"/>
      <c r="AJ236" s="150"/>
      <c r="AK236" s="150"/>
      <c r="AL236" s="150"/>
      <c r="AM236" s="150"/>
      <c r="AN236" s="150"/>
      <c r="AO236" s="150"/>
      <c r="AP236" s="150"/>
      <c r="AQ236" s="150"/>
      <c r="AT236" s="186"/>
      <c r="AU236" s="186"/>
      <c r="AV236" s="186"/>
      <c r="AW236" s="186"/>
      <c r="AX236" s="186"/>
      <c r="AY236" s="186"/>
      <c r="AZ236" s="186"/>
      <c r="BA236" s="186"/>
      <c r="BB236" s="186"/>
      <c r="BC236" s="186"/>
      <c r="BD236" s="186"/>
      <c r="BE236" s="186"/>
      <c r="BF236" s="150"/>
      <c r="BG236" s="150"/>
      <c r="BI236"/>
      <c r="BJ236"/>
      <c r="BK236"/>
      <c r="BL236"/>
    </row>
    <row r="237" spans="3:64" ht="14.6">
      <c r="C237" s="289"/>
      <c r="D237" s="150"/>
      <c r="E237" s="150"/>
      <c r="F237" s="150"/>
      <c r="G237" s="150"/>
      <c r="H237" s="150"/>
      <c r="I237" s="150"/>
      <c r="J237" s="150"/>
      <c r="K237" s="150"/>
      <c r="L237" s="150"/>
      <c r="M237" s="150"/>
      <c r="N237" s="150"/>
      <c r="O237" s="150"/>
      <c r="P237" s="150"/>
      <c r="Q237" s="150"/>
      <c r="R237" s="150"/>
      <c r="S237" s="150"/>
      <c r="T237" s="186"/>
      <c r="U237" s="186"/>
      <c r="V237" s="186"/>
      <c r="W237" s="186"/>
      <c r="X237" s="186"/>
      <c r="Y237" s="186"/>
      <c r="Z237" s="186"/>
      <c r="AA237" s="186"/>
      <c r="AB237" s="186"/>
      <c r="AC237" s="186"/>
      <c r="AD237" s="186"/>
      <c r="AF237" s="150"/>
      <c r="AG237" s="150"/>
      <c r="AH237" s="150"/>
      <c r="AI237" s="150"/>
      <c r="AJ237" s="150"/>
      <c r="AK237" s="150"/>
      <c r="AL237" s="150"/>
      <c r="AM237" s="150"/>
      <c r="AN237" s="150"/>
      <c r="AO237" s="150"/>
      <c r="AP237" s="150"/>
      <c r="AQ237" s="150"/>
      <c r="AT237" s="186"/>
      <c r="AU237" s="186"/>
      <c r="AV237" s="186"/>
      <c r="AW237" s="186"/>
      <c r="AX237" s="186"/>
      <c r="AY237" s="186"/>
      <c r="AZ237" s="186"/>
      <c r="BA237" s="186"/>
      <c r="BB237" s="186"/>
      <c r="BC237" s="186"/>
      <c r="BD237" s="186"/>
      <c r="BE237" s="186"/>
      <c r="BF237" s="150"/>
      <c r="BG237" s="150"/>
      <c r="BI237"/>
      <c r="BJ237"/>
      <c r="BK237"/>
      <c r="BL237"/>
    </row>
    <row r="238" spans="3:64" ht="14.6">
      <c r="C238" s="289"/>
      <c r="D238" s="150"/>
      <c r="E238" s="150"/>
      <c r="F238" s="150"/>
      <c r="G238" s="150"/>
      <c r="H238" s="150"/>
      <c r="I238" s="150"/>
      <c r="J238" s="150"/>
      <c r="K238" s="150"/>
      <c r="L238" s="150"/>
      <c r="M238" s="150"/>
      <c r="N238" s="150"/>
      <c r="O238" s="150"/>
      <c r="P238" s="150"/>
      <c r="Q238" s="150"/>
      <c r="R238" s="150"/>
      <c r="S238" s="150"/>
      <c r="T238" s="186"/>
      <c r="U238" s="186"/>
      <c r="V238" s="186"/>
      <c r="W238" s="186"/>
      <c r="X238" s="186"/>
      <c r="Y238" s="186"/>
      <c r="Z238" s="186"/>
      <c r="AA238" s="186"/>
      <c r="AB238" s="186"/>
      <c r="AC238" s="186"/>
      <c r="AD238" s="186"/>
      <c r="AF238" s="150"/>
      <c r="AG238" s="150"/>
      <c r="AH238" s="150"/>
      <c r="AI238" s="150"/>
      <c r="AJ238" s="150"/>
      <c r="AK238" s="150"/>
      <c r="AL238" s="150"/>
      <c r="AM238" s="150"/>
      <c r="AN238" s="150"/>
      <c r="AO238" s="150"/>
      <c r="AP238" s="150"/>
      <c r="AQ238" s="150"/>
      <c r="AT238" s="186"/>
      <c r="AU238" s="186"/>
      <c r="AV238" s="186"/>
      <c r="AW238" s="186"/>
      <c r="AX238" s="186"/>
      <c r="AY238" s="186"/>
      <c r="AZ238" s="186"/>
      <c r="BA238" s="186"/>
      <c r="BB238" s="186"/>
      <c r="BC238" s="186"/>
      <c r="BD238" s="186"/>
      <c r="BE238" s="186"/>
      <c r="BF238" s="150"/>
      <c r="BG238" s="150"/>
      <c r="BI238"/>
      <c r="BJ238"/>
      <c r="BK238"/>
      <c r="BL238"/>
    </row>
    <row r="239" spans="3:64" ht="14.6">
      <c r="C239" s="289"/>
      <c r="D239" s="150"/>
      <c r="E239" s="150"/>
      <c r="F239" s="150"/>
      <c r="G239" s="150"/>
      <c r="H239" s="150"/>
      <c r="I239" s="150"/>
      <c r="J239" s="150"/>
      <c r="K239" s="150"/>
      <c r="L239" s="150"/>
      <c r="M239" s="150"/>
      <c r="N239" s="150"/>
      <c r="O239" s="150"/>
      <c r="P239" s="150"/>
      <c r="Q239" s="150"/>
      <c r="R239" s="150"/>
      <c r="S239" s="150"/>
      <c r="T239" s="186"/>
      <c r="U239" s="186"/>
      <c r="V239" s="186"/>
      <c r="W239" s="186"/>
      <c r="X239" s="186"/>
      <c r="Y239" s="186"/>
      <c r="Z239" s="186"/>
      <c r="AA239" s="186"/>
      <c r="AB239" s="186"/>
      <c r="AC239" s="186"/>
      <c r="AD239" s="186"/>
      <c r="AF239" s="150"/>
      <c r="AG239" s="150"/>
      <c r="AH239" s="150"/>
      <c r="AI239" s="150"/>
      <c r="AJ239" s="150"/>
      <c r="AK239" s="150"/>
      <c r="AL239" s="150"/>
      <c r="AM239" s="150"/>
      <c r="AN239" s="150"/>
      <c r="AO239" s="150"/>
      <c r="AP239" s="150"/>
      <c r="AQ239" s="150"/>
      <c r="AT239" s="186"/>
      <c r="AU239" s="186"/>
      <c r="AV239" s="186"/>
      <c r="AW239" s="186"/>
      <c r="AX239" s="186"/>
      <c r="AY239" s="186"/>
      <c r="AZ239" s="186"/>
      <c r="BA239" s="186"/>
      <c r="BB239" s="186"/>
      <c r="BC239" s="186"/>
      <c r="BD239" s="186"/>
      <c r="BE239" s="186"/>
      <c r="BF239" s="150"/>
      <c r="BG239" s="150"/>
      <c r="BI239"/>
      <c r="BJ239"/>
      <c r="BK239"/>
      <c r="BL239"/>
    </row>
    <row r="240" spans="3:64" ht="14.6">
      <c r="C240" s="289"/>
      <c r="D240" s="150"/>
      <c r="E240" s="150"/>
      <c r="F240" s="150"/>
      <c r="G240" s="150"/>
      <c r="H240" s="150"/>
      <c r="I240" s="150"/>
      <c r="J240" s="150"/>
      <c r="K240" s="150"/>
      <c r="L240" s="150"/>
      <c r="M240" s="150"/>
      <c r="N240" s="150"/>
      <c r="O240" s="150"/>
      <c r="P240" s="150"/>
      <c r="Q240" s="150"/>
      <c r="R240" s="150"/>
      <c r="S240" s="150"/>
      <c r="T240" s="186"/>
      <c r="U240" s="186"/>
      <c r="V240" s="186"/>
      <c r="W240" s="186"/>
      <c r="X240" s="186"/>
      <c r="Y240" s="186"/>
      <c r="Z240" s="186"/>
      <c r="AA240" s="186"/>
      <c r="AB240" s="186"/>
      <c r="AC240" s="186"/>
      <c r="AD240" s="186"/>
      <c r="AF240" s="150"/>
      <c r="AG240" s="150"/>
      <c r="AH240" s="150"/>
      <c r="AI240" s="150"/>
      <c r="AJ240" s="150"/>
      <c r="AK240" s="150"/>
      <c r="AL240" s="150"/>
      <c r="AM240" s="150"/>
      <c r="AN240" s="150"/>
      <c r="AO240" s="150"/>
      <c r="AP240" s="150"/>
      <c r="AQ240" s="150"/>
      <c r="AT240" s="186"/>
      <c r="AU240" s="186"/>
      <c r="AV240" s="186"/>
      <c r="AW240" s="186"/>
      <c r="AX240" s="186"/>
      <c r="AY240" s="186"/>
      <c r="AZ240" s="186"/>
      <c r="BA240" s="186"/>
      <c r="BB240" s="186"/>
      <c r="BC240" s="186"/>
      <c r="BD240" s="186"/>
      <c r="BE240" s="186"/>
      <c r="BF240" s="150"/>
      <c r="BG240" s="150"/>
      <c r="BI240"/>
      <c r="BJ240"/>
      <c r="BK240"/>
      <c r="BL240"/>
    </row>
    <row r="241" spans="3:64" ht="14.6">
      <c r="C241" s="289"/>
      <c r="D241" s="150"/>
      <c r="E241" s="150"/>
      <c r="F241" s="150"/>
      <c r="G241" s="150"/>
      <c r="H241" s="150"/>
      <c r="I241" s="150"/>
      <c r="J241" s="150"/>
      <c r="K241" s="150"/>
      <c r="L241" s="150"/>
      <c r="M241" s="150"/>
      <c r="N241" s="150"/>
      <c r="O241" s="150"/>
      <c r="P241" s="150"/>
      <c r="Q241" s="150"/>
      <c r="R241" s="150"/>
      <c r="S241" s="150"/>
      <c r="T241" s="186"/>
      <c r="U241" s="186"/>
      <c r="V241" s="186"/>
      <c r="W241" s="186"/>
      <c r="X241" s="186"/>
      <c r="Y241" s="186"/>
      <c r="Z241" s="186"/>
      <c r="AA241" s="186"/>
      <c r="AB241" s="186"/>
      <c r="AC241" s="186"/>
      <c r="AD241" s="186"/>
      <c r="AF241" s="150"/>
      <c r="AG241" s="150"/>
      <c r="AH241" s="150"/>
      <c r="AI241" s="150"/>
      <c r="AJ241" s="150"/>
      <c r="AK241" s="150"/>
      <c r="AL241" s="150"/>
      <c r="AM241" s="150"/>
      <c r="AN241" s="150"/>
      <c r="AO241" s="150"/>
      <c r="AP241" s="150"/>
      <c r="AQ241" s="150"/>
      <c r="AT241" s="186"/>
      <c r="AU241" s="186"/>
      <c r="AV241" s="186"/>
      <c r="AW241" s="186"/>
      <c r="AX241" s="186"/>
      <c r="AY241" s="186"/>
      <c r="AZ241" s="186"/>
      <c r="BA241" s="186"/>
      <c r="BB241" s="186"/>
      <c r="BC241" s="186"/>
      <c r="BD241" s="186"/>
      <c r="BE241" s="186"/>
      <c r="BF241" s="150"/>
      <c r="BG241" s="150"/>
      <c r="BI241"/>
      <c r="BJ241"/>
      <c r="BK241"/>
      <c r="BL241"/>
    </row>
    <row r="242" spans="3:64" ht="14.6">
      <c r="C242" s="289"/>
      <c r="D242" s="150"/>
      <c r="E242" s="150"/>
      <c r="F242" s="150"/>
      <c r="G242" s="150"/>
      <c r="H242" s="150"/>
      <c r="I242" s="150"/>
      <c r="J242" s="150"/>
      <c r="K242" s="150"/>
      <c r="L242" s="150"/>
      <c r="M242" s="150"/>
      <c r="N242" s="150"/>
      <c r="O242" s="150"/>
      <c r="P242" s="150"/>
      <c r="Q242" s="150"/>
      <c r="R242" s="150"/>
      <c r="S242" s="150"/>
      <c r="T242" s="186"/>
      <c r="U242" s="186"/>
      <c r="V242" s="186"/>
      <c r="W242" s="186"/>
      <c r="X242" s="186"/>
      <c r="Y242" s="186"/>
      <c r="Z242" s="186"/>
      <c r="AA242" s="186"/>
      <c r="AB242" s="186"/>
      <c r="AC242" s="186"/>
      <c r="AD242" s="186"/>
      <c r="AF242" s="150"/>
      <c r="AG242" s="150"/>
      <c r="AH242" s="150"/>
      <c r="AI242" s="150"/>
      <c r="AJ242" s="150"/>
      <c r="AK242" s="150"/>
      <c r="AL242" s="150"/>
      <c r="AM242" s="150"/>
      <c r="AN242" s="150"/>
      <c r="AO242" s="150"/>
      <c r="AP242" s="150"/>
      <c r="AQ242" s="150"/>
      <c r="AT242" s="186"/>
      <c r="AU242" s="186"/>
      <c r="AV242" s="186"/>
      <c r="AW242" s="186"/>
      <c r="AX242" s="186"/>
      <c r="AY242" s="186"/>
      <c r="AZ242" s="186"/>
      <c r="BA242" s="186"/>
      <c r="BB242" s="186"/>
      <c r="BC242" s="186"/>
      <c r="BD242" s="186"/>
      <c r="BE242" s="186"/>
      <c r="BF242" s="150"/>
      <c r="BG242" s="150"/>
      <c r="BI242"/>
      <c r="BJ242"/>
      <c r="BK242"/>
      <c r="BL242"/>
    </row>
    <row r="243" spans="3:64" ht="14.6">
      <c r="C243" s="289"/>
      <c r="D243" s="150"/>
      <c r="E243" s="150"/>
      <c r="F243" s="150"/>
      <c r="G243" s="150"/>
      <c r="H243" s="150"/>
      <c r="I243" s="150"/>
      <c r="J243" s="150"/>
      <c r="K243" s="150"/>
      <c r="L243" s="150"/>
      <c r="M243" s="150"/>
      <c r="N243" s="150"/>
      <c r="O243" s="150"/>
      <c r="P243" s="150"/>
      <c r="Q243" s="150"/>
      <c r="R243" s="150"/>
      <c r="S243" s="150"/>
      <c r="T243" s="186"/>
      <c r="U243" s="186"/>
      <c r="V243" s="186"/>
      <c r="W243" s="186"/>
      <c r="X243" s="186"/>
      <c r="Y243" s="186"/>
      <c r="Z243" s="186"/>
      <c r="AA243" s="186"/>
      <c r="AB243" s="186"/>
      <c r="AC243" s="186"/>
      <c r="AD243" s="186"/>
      <c r="AF243" s="150"/>
      <c r="AG243" s="150"/>
      <c r="AH243" s="150"/>
      <c r="AI243" s="150"/>
      <c r="AJ243" s="150"/>
      <c r="AK243" s="150"/>
      <c r="AL243" s="150"/>
      <c r="AM243" s="150"/>
      <c r="AN243" s="150"/>
      <c r="AO243" s="150"/>
      <c r="AP243" s="150"/>
      <c r="AQ243" s="150"/>
      <c r="AT243" s="186"/>
      <c r="AU243" s="186"/>
      <c r="AV243" s="186"/>
      <c r="AW243" s="186"/>
      <c r="AX243" s="186"/>
      <c r="AY243" s="186"/>
      <c r="AZ243" s="186"/>
      <c r="BA243" s="186"/>
      <c r="BB243" s="186"/>
      <c r="BC243" s="186"/>
      <c r="BD243" s="186"/>
      <c r="BE243" s="186"/>
      <c r="BF243" s="150"/>
      <c r="BG243" s="150"/>
      <c r="BI243"/>
      <c r="BJ243"/>
      <c r="BK243"/>
      <c r="BL243"/>
    </row>
    <row r="244" spans="3:64" ht="14.6">
      <c r="C244" s="289"/>
      <c r="D244" s="150"/>
      <c r="E244" s="150"/>
      <c r="F244" s="150"/>
      <c r="G244" s="150"/>
      <c r="H244" s="150"/>
      <c r="I244" s="150"/>
      <c r="J244" s="150"/>
      <c r="K244" s="150"/>
      <c r="L244" s="150"/>
      <c r="M244" s="150"/>
      <c r="N244" s="150"/>
      <c r="O244" s="150"/>
      <c r="P244" s="150"/>
      <c r="Q244" s="150"/>
      <c r="R244" s="150"/>
      <c r="S244" s="150"/>
      <c r="T244" s="186"/>
      <c r="U244" s="186"/>
      <c r="V244" s="186"/>
      <c r="W244" s="186"/>
      <c r="X244" s="186"/>
      <c r="Y244" s="186"/>
      <c r="Z244" s="186"/>
      <c r="AA244" s="186"/>
      <c r="AB244" s="186"/>
      <c r="AC244" s="186"/>
      <c r="AD244" s="186"/>
      <c r="AF244" s="150"/>
      <c r="AG244" s="150"/>
      <c r="AH244" s="150"/>
      <c r="AI244" s="150"/>
      <c r="AJ244" s="150"/>
      <c r="AK244" s="150"/>
      <c r="AL244" s="150"/>
      <c r="AM244" s="150"/>
      <c r="AN244" s="150"/>
      <c r="AO244" s="150"/>
      <c r="AP244" s="150"/>
      <c r="AQ244" s="150"/>
      <c r="AT244" s="186"/>
      <c r="AU244" s="186"/>
      <c r="AV244" s="186"/>
      <c r="AW244" s="186"/>
      <c r="AX244" s="186"/>
      <c r="AY244" s="186"/>
      <c r="AZ244" s="186"/>
      <c r="BA244" s="186"/>
      <c r="BB244" s="186"/>
      <c r="BC244" s="186"/>
      <c r="BD244" s="186"/>
      <c r="BE244" s="186"/>
      <c r="BF244" s="150"/>
      <c r="BG244" s="150"/>
      <c r="BI244"/>
      <c r="BJ244"/>
      <c r="BK244"/>
      <c r="BL244"/>
    </row>
    <row r="245" spans="3:64" ht="14.6">
      <c r="C245" s="289"/>
      <c r="D245" s="150"/>
      <c r="E245" s="150"/>
      <c r="F245" s="150"/>
      <c r="G245" s="150"/>
      <c r="H245" s="150"/>
      <c r="I245" s="150"/>
      <c r="J245" s="150"/>
      <c r="K245" s="150"/>
      <c r="L245" s="150"/>
      <c r="M245" s="150"/>
      <c r="N245" s="150"/>
      <c r="O245" s="150"/>
      <c r="P245" s="150"/>
      <c r="Q245" s="150"/>
      <c r="R245" s="150"/>
      <c r="S245" s="150"/>
      <c r="T245" s="186"/>
      <c r="U245" s="186"/>
      <c r="V245" s="186"/>
      <c r="W245" s="186"/>
      <c r="X245" s="186"/>
      <c r="Y245" s="186"/>
      <c r="Z245" s="186"/>
      <c r="AA245" s="186"/>
      <c r="AB245" s="186"/>
      <c r="AC245" s="186"/>
      <c r="AD245" s="186"/>
      <c r="AF245" s="150"/>
      <c r="AG245" s="150"/>
      <c r="AH245" s="150"/>
      <c r="AI245" s="150"/>
      <c r="AJ245" s="150"/>
      <c r="AK245" s="150"/>
      <c r="AL245" s="150"/>
      <c r="AM245" s="150"/>
      <c r="AN245" s="150"/>
      <c r="AO245" s="150"/>
      <c r="AP245" s="150"/>
      <c r="AQ245" s="150"/>
      <c r="AT245" s="186"/>
      <c r="AU245" s="186"/>
      <c r="AV245" s="186"/>
      <c r="AW245" s="186"/>
      <c r="AX245" s="186"/>
      <c r="AY245" s="186"/>
      <c r="AZ245" s="186"/>
      <c r="BA245" s="186"/>
      <c r="BB245" s="186"/>
      <c r="BC245" s="186"/>
      <c r="BD245" s="186"/>
      <c r="BE245" s="186"/>
      <c r="BF245" s="150"/>
      <c r="BG245" s="150"/>
      <c r="BI245"/>
      <c r="BJ245"/>
      <c r="BK245"/>
      <c r="BL245"/>
    </row>
    <row r="246" spans="3:64" ht="14.6">
      <c r="C246" s="289"/>
      <c r="D246" s="150"/>
      <c r="E246" s="150"/>
      <c r="F246" s="150"/>
      <c r="G246" s="150"/>
      <c r="H246" s="150"/>
      <c r="I246" s="150"/>
      <c r="J246" s="150"/>
      <c r="K246" s="150"/>
      <c r="L246" s="150"/>
      <c r="M246" s="150"/>
      <c r="N246" s="150"/>
      <c r="O246" s="150"/>
      <c r="P246" s="150"/>
      <c r="Q246" s="150"/>
      <c r="R246" s="150"/>
      <c r="S246" s="150"/>
      <c r="T246" s="186"/>
      <c r="U246" s="186"/>
      <c r="V246" s="186"/>
      <c r="W246" s="186"/>
      <c r="X246" s="186"/>
      <c r="Y246" s="186"/>
      <c r="Z246" s="186"/>
      <c r="AA246" s="186"/>
      <c r="AB246" s="186"/>
      <c r="AC246" s="186"/>
      <c r="AD246" s="186"/>
      <c r="AF246" s="150"/>
      <c r="AG246" s="150"/>
      <c r="AH246" s="150"/>
      <c r="AI246" s="150"/>
      <c r="AJ246" s="150"/>
      <c r="AK246" s="150"/>
      <c r="AL246" s="150"/>
      <c r="AM246" s="150"/>
      <c r="AN246" s="150"/>
      <c r="AO246" s="150"/>
      <c r="AP246" s="150"/>
      <c r="AQ246" s="150"/>
      <c r="AT246" s="186"/>
      <c r="AU246" s="186"/>
      <c r="AV246" s="186"/>
      <c r="AW246" s="186"/>
      <c r="AX246" s="186"/>
      <c r="AY246" s="186"/>
      <c r="AZ246" s="186"/>
      <c r="BA246" s="186"/>
      <c r="BB246" s="186"/>
      <c r="BC246" s="186"/>
      <c r="BD246" s="186"/>
      <c r="BE246" s="186"/>
      <c r="BF246" s="150"/>
      <c r="BG246" s="150"/>
      <c r="BI246"/>
      <c r="BJ246"/>
      <c r="BK246"/>
      <c r="BL246"/>
    </row>
    <row r="247" spans="3:64" ht="14.6">
      <c r="C247" s="289"/>
      <c r="D247" s="150"/>
      <c r="E247" s="150"/>
      <c r="F247" s="150"/>
      <c r="G247" s="150"/>
      <c r="H247" s="150"/>
      <c r="I247" s="150"/>
      <c r="J247" s="150"/>
      <c r="K247" s="150"/>
      <c r="L247" s="150"/>
      <c r="M247" s="150"/>
      <c r="N247" s="150"/>
      <c r="O247" s="150"/>
      <c r="P247" s="150"/>
      <c r="Q247" s="150"/>
      <c r="R247" s="150"/>
      <c r="S247" s="150"/>
      <c r="T247" s="186"/>
      <c r="U247" s="186"/>
      <c r="V247" s="186"/>
      <c r="W247" s="186"/>
      <c r="X247" s="186"/>
      <c r="Y247" s="186"/>
      <c r="Z247" s="186"/>
      <c r="AA247" s="186"/>
      <c r="AB247" s="186"/>
      <c r="AC247" s="186"/>
      <c r="AD247" s="186"/>
      <c r="AF247" s="150"/>
      <c r="AG247" s="150"/>
      <c r="AH247" s="150"/>
      <c r="AI247" s="150"/>
      <c r="AJ247" s="150"/>
      <c r="AK247" s="150"/>
      <c r="AL247" s="150"/>
      <c r="AM247" s="150"/>
      <c r="AN247" s="150"/>
      <c r="AO247" s="150"/>
      <c r="AP247" s="150"/>
      <c r="AQ247" s="150"/>
      <c r="AT247" s="186"/>
      <c r="AU247" s="186"/>
      <c r="AV247" s="186"/>
      <c r="AW247" s="186"/>
      <c r="AX247" s="186"/>
      <c r="AY247" s="186"/>
      <c r="AZ247" s="186"/>
      <c r="BA247" s="186"/>
      <c r="BB247" s="186"/>
      <c r="BC247" s="186"/>
      <c r="BD247" s="186"/>
      <c r="BE247" s="186"/>
      <c r="BF247" s="150"/>
      <c r="BG247" s="150"/>
      <c r="BI247"/>
      <c r="BJ247"/>
      <c r="BK247"/>
      <c r="BL247"/>
    </row>
    <row r="248" spans="3:64" ht="14.6">
      <c r="C248" s="289"/>
      <c r="D248" s="150"/>
      <c r="E248" s="150"/>
      <c r="F248" s="150"/>
      <c r="G248" s="150"/>
      <c r="H248" s="150"/>
      <c r="I248" s="150"/>
      <c r="J248" s="150"/>
      <c r="K248" s="150"/>
      <c r="L248" s="150"/>
      <c r="M248" s="150"/>
      <c r="N248" s="150"/>
      <c r="O248" s="150"/>
      <c r="P248" s="150"/>
      <c r="Q248" s="150"/>
      <c r="R248" s="150"/>
      <c r="S248" s="150"/>
      <c r="T248" s="186"/>
      <c r="U248" s="186"/>
      <c r="V248" s="186"/>
      <c r="W248" s="186"/>
      <c r="X248" s="186"/>
      <c r="Y248" s="186"/>
      <c r="Z248" s="186"/>
      <c r="AA248" s="186"/>
      <c r="AB248" s="186"/>
      <c r="AC248" s="186"/>
      <c r="AD248" s="186"/>
      <c r="AF248" s="150"/>
      <c r="AG248" s="150"/>
      <c r="AH248" s="150"/>
      <c r="AI248" s="150"/>
      <c r="AJ248" s="150"/>
      <c r="AK248" s="150"/>
      <c r="AL248" s="150"/>
      <c r="AM248" s="150"/>
      <c r="AN248" s="150"/>
      <c r="AO248" s="150"/>
      <c r="AP248" s="150"/>
      <c r="AQ248" s="150"/>
      <c r="AT248" s="186"/>
      <c r="AU248" s="186"/>
      <c r="AV248" s="186"/>
      <c r="AW248" s="186"/>
      <c r="AX248" s="186"/>
      <c r="AY248" s="186"/>
      <c r="AZ248" s="186"/>
      <c r="BA248" s="186"/>
      <c r="BB248" s="186"/>
      <c r="BC248" s="186"/>
      <c r="BD248" s="186"/>
      <c r="BE248" s="186"/>
      <c r="BF248" s="150"/>
      <c r="BG248" s="150"/>
      <c r="BI248"/>
      <c r="BJ248"/>
      <c r="BK248"/>
      <c r="BL248"/>
    </row>
    <row r="249" spans="3:64" ht="14.6">
      <c r="C249" s="289"/>
      <c r="D249" s="150"/>
      <c r="E249" s="150"/>
      <c r="F249" s="150"/>
      <c r="G249" s="150"/>
      <c r="H249" s="150"/>
      <c r="I249" s="150"/>
      <c r="J249" s="150"/>
      <c r="K249" s="150"/>
      <c r="L249" s="150"/>
      <c r="M249" s="150"/>
      <c r="N249" s="150"/>
      <c r="O249" s="150"/>
      <c r="P249" s="150"/>
      <c r="Q249" s="150"/>
      <c r="R249" s="150"/>
      <c r="S249" s="150"/>
      <c r="T249" s="186"/>
      <c r="U249" s="186"/>
      <c r="V249" s="186"/>
      <c r="W249" s="186"/>
      <c r="X249" s="186"/>
      <c r="Y249" s="186"/>
      <c r="Z249" s="186"/>
      <c r="AA249" s="186"/>
      <c r="AB249" s="186"/>
      <c r="AC249" s="186"/>
      <c r="AD249" s="186"/>
      <c r="AF249" s="150"/>
      <c r="AG249" s="150"/>
      <c r="AH249" s="150"/>
      <c r="AI249" s="150"/>
      <c r="AJ249" s="150"/>
      <c r="AK249" s="150"/>
      <c r="AL249" s="150"/>
      <c r="AM249" s="150"/>
      <c r="AN249" s="150"/>
      <c r="AO249" s="150"/>
      <c r="AP249" s="150"/>
      <c r="AQ249" s="150"/>
      <c r="AT249" s="186"/>
      <c r="AU249" s="186"/>
      <c r="AV249" s="186"/>
      <c r="AW249" s="186"/>
      <c r="AX249" s="186"/>
      <c r="AY249" s="186"/>
      <c r="AZ249" s="186"/>
      <c r="BA249" s="186"/>
      <c r="BB249" s="186"/>
      <c r="BC249" s="186"/>
      <c r="BD249" s="186"/>
      <c r="BE249" s="186"/>
      <c r="BF249" s="150"/>
      <c r="BG249" s="150"/>
      <c r="BI249"/>
      <c r="BJ249"/>
      <c r="BK249"/>
      <c r="BL249"/>
    </row>
    <row r="250" spans="3:64" ht="14.6">
      <c r="C250" s="289"/>
      <c r="D250" s="150"/>
      <c r="E250" s="150"/>
      <c r="F250" s="150"/>
      <c r="G250" s="150"/>
      <c r="H250" s="150"/>
      <c r="I250" s="150"/>
      <c r="J250" s="150"/>
      <c r="K250" s="150"/>
      <c r="L250" s="150"/>
      <c r="M250" s="150"/>
      <c r="N250" s="150"/>
      <c r="O250" s="150"/>
      <c r="P250" s="150"/>
      <c r="Q250" s="150"/>
      <c r="R250" s="150"/>
      <c r="S250" s="150"/>
      <c r="T250" s="186"/>
      <c r="U250" s="186"/>
      <c r="V250" s="186"/>
      <c r="W250" s="186"/>
      <c r="X250" s="186"/>
      <c r="Y250" s="186"/>
      <c r="Z250" s="186"/>
      <c r="AA250" s="186"/>
      <c r="AB250" s="186"/>
      <c r="AC250" s="186"/>
      <c r="AD250" s="186"/>
      <c r="AF250" s="150"/>
      <c r="AG250" s="150"/>
      <c r="AH250" s="150"/>
      <c r="AI250" s="150"/>
      <c r="AJ250" s="150"/>
      <c r="AK250" s="150"/>
      <c r="AL250" s="150"/>
      <c r="AM250" s="150"/>
      <c r="AN250" s="150"/>
      <c r="AO250" s="150"/>
      <c r="AP250" s="150"/>
      <c r="AQ250" s="150"/>
      <c r="AT250" s="186"/>
      <c r="AU250" s="186"/>
      <c r="AV250" s="186"/>
      <c r="AW250" s="186"/>
      <c r="AX250" s="186"/>
      <c r="AY250" s="186"/>
      <c r="AZ250" s="186"/>
      <c r="BA250" s="186"/>
      <c r="BB250" s="186"/>
      <c r="BC250" s="186"/>
      <c r="BD250" s="186"/>
      <c r="BE250" s="186"/>
      <c r="BF250" s="150"/>
      <c r="BG250" s="150"/>
      <c r="BI250"/>
      <c r="BJ250"/>
      <c r="BK250"/>
      <c r="BL250"/>
    </row>
    <row r="251" spans="3:64" ht="14.6">
      <c r="C251" s="289"/>
      <c r="D251" s="150"/>
      <c r="E251" s="150"/>
      <c r="F251" s="150"/>
      <c r="G251" s="150"/>
      <c r="H251" s="150"/>
      <c r="I251" s="150"/>
      <c r="J251" s="150"/>
      <c r="K251" s="150"/>
      <c r="L251" s="150"/>
      <c r="M251" s="150"/>
      <c r="N251" s="150"/>
      <c r="O251" s="150"/>
      <c r="P251" s="150"/>
      <c r="Q251" s="150"/>
      <c r="R251" s="150"/>
      <c r="S251" s="150"/>
      <c r="T251" s="186"/>
      <c r="U251" s="186"/>
      <c r="V251" s="186"/>
      <c r="W251" s="186"/>
      <c r="X251" s="186"/>
      <c r="Y251" s="186"/>
      <c r="Z251" s="186"/>
      <c r="AA251" s="186"/>
      <c r="AB251" s="186"/>
      <c r="AC251" s="186"/>
      <c r="AD251" s="186"/>
      <c r="AF251" s="150"/>
      <c r="AG251" s="150"/>
      <c r="AH251" s="150"/>
      <c r="AI251" s="150"/>
      <c r="AJ251" s="150"/>
      <c r="AK251" s="150"/>
      <c r="AL251" s="150"/>
      <c r="AM251" s="150"/>
      <c r="AN251" s="150"/>
      <c r="AO251" s="150"/>
      <c r="AP251" s="150"/>
      <c r="AQ251" s="150"/>
      <c r="AT251" s="186"/>
      <c r="AU251" s="186"/>
      <c r="AV251" s="186"/>
      <c r="AW251" s="186"/>
      <c r="AX251" s="186"/>
      <c r="AY251" s="186"/>
      <c r="AZ251" s="186"/>
      <c r="BA251" s="186"/>
      <c r="BB251" s="186"/>
      <c r="BC251" s="186"/>
      <c r="BD251" s="186"/>
      <c r="BE251" s="186"/>
      <c r="BF251" s="150"/>
      <c r="BG251" s="150"/>
      <c r="BI251"/>
      <c r="BJ251"/>
      <c r="BK251"/>
      <c r="BL251"/>
    </row>
    <row r="252" spans="3:64" ht="14.6">
      <c r="C252" s="289"/>
      <c r="D252" s="150"/>
      <c r="E252" s="150"/>
      <c r="F252" s="150"/>
      <c r="G252" s="150"/>
      <c r="H252" s="150"/>
      <c r="I252" s="150"/>
      <c r="J252" s="150"/>
      <c r="K252" s="150"/>
      <c r="L252" s="150"/>
      <c r="M252" s="150"/>
      <c r="N252" s="150"/>
      <c r="O252" s="150"/>
      <c r="P252" s="150"/>
      <c r="Q252" s="150"/>
      <c r="R252" s="150"/>
      <c r="S252" s="150"/>
      <c r="T252" s="186"/>
      <c r="U252" s="186"/>
      <c r="V252" s="186"/>
      <c r="W252" s="186"/>
      <c r="X252" s="186"/>
      <c r="Y252" s="186"/>
      <c r="Z252" s="186"/>
      <c r="AA252" s="186"/>
      <c r="AB252" s="186"/>
      <c r="AC252" s="186"/>
      <c r="AD252" s="186"/>
      <c r="AF252" s="150"/>
      <c r="AG252" s="150"/>
      <c r="AH252" s="150"/>
      <c r="AI252" s="150"/>
      <c r="AJ252" s="150"/>
      <c r="AK252" s="150"/>
      <c r="AL252" s="150"/>
      <c r="AM252" s="150"/>
      <c r="AN252" s="150"/>
      <c r="AO252" s="150"/>
      <c r="AP252" s="150"/>
      <c r="AQ252" s="150"/>
      <c r="AT252" s="186"/>
      <c r="AU252" s="186"/>
      <c r="AV252" s="186"/>
      <c r="AW252" s="186"/>
      <c r="AX252" s="186"/>
      <c r="AY252" s="186"/>
      <c r="AZ252" s="186"/>
      <c r="BA252" s="186"/>
      <c r="BB252" s="186"/>
      <c r="BC252" s="186"/>
      <c r="BD252" s="186"/>
      <c r="BE252" s="186"/>
      <c r="BF252" s="150"/>
      <c r="BG252" s="150"/>
      <c r="BI252"/>
      <c r="BJ252"/>
      <c r="BK252"/>
      <c r="BL252"/>
    </row>
    <row r="253" spans="3:64" ht="14.6">
      <c r="C253" s="289"/>
      <c r="D253" s="150"/>
      <c r="E253" s="150"/>
      <c r="F253" s="150"/>
      <c r="G253" s="150"/>
      <c r="H253" s="150"/>
      <c r="I253" s="150"/>
      <c r="J253" s="150"/>
      <c r="K253" s="150"/>
      <c r="L253" s="150"/>
      <c r="M253" s="150"/>
      <c r="N253" s="150"/>
      <c r="O253" s="150"/>
      <c r="P253" s="150"/>
      <c r="Q253" s="150"/>
      <c r="R253" s="150"/>
      <c r="S253" s="150"/>
      <c r="T253" s="186"/>
      <c r="U253" s="186"/>
      <c r="V253" s="186"/>
      <c r="W253" s="186"/>
      <c r="X253" s="186"/>
      <c r="Y253" s="186"/>
      <c r="Z253" s="186"/>
      <c r="AA253" s="186"/>
      <c r="AB253" s="186"/>
      <c r="AC253" s="186"/>
      <c r="AD253" s="186"/>
      <c r="AF253" s="150"/>
      <c r="AG253" s="150"/>
      <c r="AH253" s="150"/>
      <c r="AI253" s="150"/>
      <c r="AJ253" s="150"/>
      <c r="AK253" s="150"/>
      <c r="AL253" s="150"/>
      <c r="AM253" s="150"/>
      <c r="AN253" s="150"/>
      <c r="AO253" s="150"/>
      <c r="AP253" s="150"/>
      <c r="AQ253" s="150"/>
      <c r="AT253" s="186"/>
      <c r="AU253" s="186"/>
      <c r="AV253" s="186"/>
      <c r="AW253" s="186"/>
      <c r="AX253" s="186"/>
      <c r="AY253" s="186"/>
      <c r="AZ253" s="186"/>
      <c r="BA253" s="186"/>
      <c r="BB253" s="186"/>
      <c r="BC253" s="186"/>
      <c r="BD253" s="186"/>
      <c r="BE253" s="186"/>
      <c r="BF253" s="150"/>
      <c r="BG253" s="150"/>
      <c r="BI253"/>
      <c r="BJ253"/>
      <c r="BK253"/>
      <c r="BL253"/>
    </row>
    <row r="254" spans="3:64" ht="14.6">
      <c r="C254" s="289"/>
      <c r="D254" s="150"/>
      <c r="E254" s="150"/>
      <c r="F254" s="150"/>
      <c r="G254" s="150"/>
      <c r="H254" s="150"/>
      <c r="I254" s="150"/>
      <c r="J254" s="150"/>
      <c r="K254" s="150"/>
      <c r="L254" s="150"/>
      <c r="M254" s="150"/>
      <c r="N254" s="150"/>
      <c r="O254" s="150"/>
      <c r="P254" s="150"/>
      <c r="Q254" s="150"/>
      <c r="R254" s="150"/>
      <c r="S254" s="150"/>
      <c r="T254" s="186"/>
      <c r="U254" s="186"/>
      <c r="V254" s="186"/>
      <c r="W254" s="186"/>
      <c r="X254" s="186"/>
      <c r="Y254" s="186"/>
      <c r="Z254" s="186"/>
      <c r="AA254" s="186"/>
      <c r="AB254" s="186"/>
      <c r="AC254" s="186"/>
      <c r="AD254" s="186"/>
      <c r="AF254" s="150"/>
      <c r="AG254" s="150"/>
      <c r="AH254" s="150"/>
      <c r="AI254" s="150"/>
      <c r="AJ254" s="150"/>
      <c r="AK254" s="150"/>
      <c r="AL254" s="150"/>
      <c r="AM254" s="150"/>
      <c r="AN254" s="150"/>
      <c r="AO254" s="150"/>
      <c r="AP254" s="150"/>
      <c r="AQ254" s="150"/>
      <c r="AT254" s="186"/>
      <c r="AU254" s="186"/>
      <c r="AV254" s="186"/>
      <c r="AW254" s="186"/>
      <c r="AX254" s="186"/>
      <c r="AY254" s="186"/>
      <c r="AZ254" s="186"/>
      <c r="BA254" s="186"/>
      <c r="BB254" s="186"/>
      <c r="BC254" s="186"/>
      <c r="BD254" s="186"/>
      <c r="BE254" s="186"/>
      <c r="BF254" s="150"/>
      <c r="BG254" s="150"/>
      <c r="BI254"/>
      <c r="BJ254"/>
      <c r="BK254"/>
      <c r="BL254"/>
    </row>
    <row r="255" spans="3:64" ht="14.6">
      <c r="C255" s="289"/>
      <c r="D255" s="150"/>
      <c r="E255" s="150"/>
      <c r="F255" s="150"/>
      <c r="G255" s="150"/>
      <c r="H255" s="150"/>
      <c r="I255" s="150"/>
      <c r="J255" s="150"/>
      <c r="K255" s="150"/>
      <c r="L255" s="150"/>
      <c r="M255" s="150"/>
      <c r="N255" s="150"/>
      <c r="O255" s="150"/>
      <c r="P255" s="150"/>
      <c r="Q255" s="150"/>
      <c r="R255" s="150"/>
      <c r="S255" s="150"/>
      <c r="T255" s="186"/>
      <c r="U255" s="186"/>
      <c r="V255" s="186"/>
      <c r="W255" s="186"/>
      <c r="X255" s="186"/>
      <c r="Y255" s="186"/>
      <c r="Z255" s="186"/>
      <c r="AA255" s="186"/>
      <c r="AB255" s="186"/>
      <c r="AC255" s="186"/>
      <c r="AD255" s="186"/>
      <c r="AF255" s="150"/>
      <c r="AG255" s="150"/>
      <c r="AH255" s="150"/>
      <c r="AI255" s="150"/>
      <c r="AJ255" s="150"/>
      <c r="AK255" s="150"/>
      <c r="AL255" s="150"/>
      <c r="AM255" s="150"/>
      <c r="AN255" s="150"/>
      <c r="AO255" s="150"/>
      <c r="AP255" s="150"/>
      <c r="AQ255" s="150"/>
      <c r="AT255" s="186"/>
      <c r="AU255" s="186"/>
      <c r="AV255" s="186"/>
      <c r="AW255" s="186"/>
      <c r="AX255" s="186"/>
      <c r="AY255" s="186"/>
      <c r="AZ255" s="186"/>
      <c r="BA255" s="186"/>
      <c r="BB255" s="186"/>
      <c r="BC255" s="186"/>
      <c r="BD255" s="186"/>
      <c r="BE255" s="186"/>
      <c r="BF255" s="150"/>
      <c r="BG255" s="150"/>
      <c r="BI255"/>
      <c r="BJ255"/>
      <c r="BK255"/>
      <c r="BL255"/>
    </row>
    <row r="256" spans="3:64" ht="14.6">
      <c r="C256" s="289"/>
      <c r="D256" s="150"/>
      <c r="E256" s="150"/>
      <c r="F256" s="150"/>
      <c r="G256" s="150"/>
      <c r="H256" s="150"/>
      <c r="I256" s="150"/>
      <c r="J256" s="150"/>
      <c r="K256" s="150"/>
      <c r="L256" s="150"/>
      <c r="M256" s="150"/>
      <c r="N256" s="150"/>
      <c r="O256" s="150"/>
      <c r="P256" s="150"/>
      <c r="Q256" s="150"/>
      <c r="R256" s="150"/>
      <c r="S256" s="150"/>
      <c r="T256" s="186"/>
      <c r="U256" s="186"/>
      <c r="V256" s="186"/>
      <c r="W256" s="186"/>
      <c r="X256" s="186"/>
      <c r="Y256" s="186"/>
      <c r="Z256" s="186"/>
      <c r="AA256" s="186"/>
      <c r="AB256" s="186"/>
      <c r="AC256" s="186"/>
      <c r="AD256" s="186"/>
      <c r="AF256" s="150"/>
      <c r="AG256" s="150"/>
      <c r="AH256" s="150"/>
      <c r="AI256" s="150"/>
      <c r="AJ256" s="150"/>
      <c r="AK256" s="150"/>
      <c r="AL256" s="150"/>
      <c r="AM256" s="150"/>
      <c r="AN256" s="150"/>
      <c r="AO256" s="150"/>
      <c r="AP256" s="150"/>
      <c r="AQ256" s="150"/>
      <c r="AT256" s="186"/>
      <c r="AU256" s="186"/>
      <c r="AV256" s="186"/>
      <c r="AW256" s="186"/>
      <c r="AX256" s="186"/>
      <c r="AY256" s="186"/>
      <c r="AZ256" s="186"/>
      <c r="BA256" s="186"/>
      <c r="BB256" s="186"/>
      <c r="BC256" s="186"/>
      <c r="BD256" s="186"/>
      <c r="BE256" s="186"/>
      <c r="BF256" s="150"/>
      <c r="BG256" s="150"/>
      <c r="BI256"/>
      <c r="BJ256"/>
      <c r="BK256"/>
      <c r="BL256"/>
    </row>
    <row r="257" spans="3:64" ht="14.6">
      <c r="C257" s="289"/>
      <c r="D257" s="150"/>
      <c r="E257" s="150"/>
      <c r="F257" s="150"/>
      <c r="G257" s="150"/>
      <c r="H257" s="150"/>
      <c r="I257" s="150"/>
      <c r="J257" s="150"/>
      <c r="K257" s="150"/>
      <c r="L257" s="150"/>
      <c r="M257" s="150"/>
      <c r="N257" s="150"/>
      <c r="O257" s="150"/>
      <c r="P257" s="150"/>
      <c r="Q257" s="150"/>
      <c r="R257" s="150"/>
      <c r="S257" s="150"/>
      <c r="T257" s="186"/>
      <c r="U257" s="186"/>
      <c r="V257" s="186"/>
      <c r="W257" s="186"/>
      <c r="X257" s="186"/>
      <c r="Y257" s="186"/>
      <c r="Z257" s="186"/>
      <c r="AA257" s="186"/>
      <c r="AB257" s="186"/>
      <c r="AC257" s="186"/>
      <c r="AD257" s="186"/>
      <c r="AF257" s="150"/>
      <c r="AG257" s="150"/>
      <c r="AH257" s="150"/>
      <c r="AI257" s="150"/>
      <c r="AJ257" s="150"/>
      <c r="AK257" s="150"/>
      <c r="AL257" s="150"/>
      <c r="AM257" s="150"/>
      <c r="AN257" s="150"/>
      <c r="AO257" s="150"/>
      <c r="AP257" s="150"/>
      <c r="AQ257" s="150"/>
      <c r="AT257" s="186"/>
      <c r="AU257" s="186"/>
      <c r="AV257" s="186"/>
      <c r="AW257" s="186"/>
      <c r="AX257" s="186"/>
      <c r="AY257" s="186"/>
      <c r="AZ257" s="186"/>
      <c r="BA257" s="186"/>
      <c r="BB257" s="186"/>
      <c r="BC257" s="186"/>
      <c r="BD257" s="186"/>
      <c r="BE257" s="186"/>
      <c r="BF257" s="150"/>
      <c r="BG257" s="150"/>
      <c r="BI257"/>
      <c r="BJ257"/>
      <c r="BK257"/>
      <c r="BL257"/>
    </row>
    <row r="258" spans="3:64" ht="14.6">
      <c r="C258" s="289"/>
      <c r="D258" s="150"/>
      <c r="E258" s="150"/>
      <c r="F258" s="150"/>
      <c r="G258" s="150"/>
      <c r="H258" s="150"/>
      <c r="I258" s="150"/>
      <c r="J258" s="150"/>
      <c r="K258" s="150"/>
      <c r="L258" s="150"/>
      <c r="M258" s="150"/>
      <c r="N258" s="150"/>
      <c r="O258" s="150"/>
      <c r="P258" s="150"/>
      <c r="Q258" s="150"/>
      <c r="R258" s="150"/>
      <c r="S258" s="150"/>
      <c r="T258" s="186"/>
      <c r="U258" s="186"/>
      <c r="V258" s="186"/>
      <c r="W258" s="186"/>
      <c r="X258" s="186"/>
      <c r="Y258" s="186"/>
      <c r="Z258" s="186"/>
      <c r="AA258" s="186"/>
      <c r="AB258" s="186"/>
      <c r="AC258" s="186"/>
      <c r="AD258" s="186"/>
      <c r="AF258" s="150"/>
      <c r="AG258" s="150"/>
      <c r="AH258" s="150"/>
      <c r="AI258" s="150"/>
      <c r="AJ258" s="150"/>
      <c r="AK258" s="150"/>
      <c r="AL258" s="150"/>
      <c r="AM258" s="150"/>
      <c r="AN258" s="150"/>
      <c r="AO258" s="150"/>
      <c r="AP258" s="150"/>
      <c r="AQ258" s="150"/>
      <c r="AT258" s="186"/>
      <c r="AU258" s="186"/>
      <c r="AV258" s="186"/>
      <c r="AW258" s="186"/>
      <c r="AX258" s="186"/>
      <c r="AY258" s="186"/>
      <c r="AZ258" s="186"/>
      <c r="BA258" s="186"/>
      <c r="BB258" s="186"/>
      <c r="BC258" s="186"/>
      <c r="BD258" s="186"/>
      <c r="BE258" s="186"/>
      <c r="BF258" s="150"/>
      <c r="BG258" s="150"/>
      <c r="BI258"/>
      <c r="BJ258"/>
      <c r="BK258"/>
      <c r="BL258"/>
    </row>
    <row r="259" spans="3:64" ht="14.6">
      <c r="C259" s="289"/>
      <c r="D259" s="150"/>
      <c r="E259" s="150"/>
      <c r="F259" s="150"/>
      <c r="G259" s="150"/>
      <c r="H259" s="150"/>
      <c r="I259" s="150"/>
      <c r="J259" s="150"/>
      <c r="K259" s="150"/>
      <c r="L259" s="150"/>
      <c r="M259" s="150"/>
      <c r="N259" s="150"/>
      <c r="O259" s="150"/>
      <c r="P259" s="150"/>
      <c r="Q259" s="150"/>
      <c r="R259" s="150"/>
      <c r="S259" s="150"/>
      <c r="T259" s="186"/>
      <c r="U259" s="186"/>
      <c r="V259" s="186"/>
      <c r="W259" s="186"/>
      <c r="X259" s="186"/>
      <c r="Y259" s="186"/>
      <c r="Z259" s="186"/>
      <c r="AA259" s="186"/>
      <c r="AB259" s="186"/>
      <c r="AC259" s="186"/>
      <c r="AD259" s="186"/>
      <c r="AF259" s="150"/>
      <c r="AG259" s="150"/>
      <c r="AH259" s="150"/>
      <c r="AI259" s="150"/>
      <c r="AJ259" s="150"/>
      <c r="AK259" s="150"/>
      <c r="AL259" s="150"/>
      <c r="AM259" s="150"/>
      <c r="AN259" s="150"/>
      <c r="AO259" s="150"/>
      <c r="AP259" s="150"/>
      <c r="AQ259" s="150"/>
      <c r="AT259" s="186"/>
      <c r="AU259" s="186"/>
      <c r="AV259" s="186"/>
      <c r="AW259" s="186"/>
      <c r="AX259" s="186"/>
      <c r="AY259" s="186"/>
      <c r="AZ259" s="186"/>
      <c r="BA259" s="186"/>
      <c r="BB259" s="186"/>
      <c r="BC259" s="186"/>
      <c r="BD259" s="186"/>
      <c r="BE259" s="186"/>
      <c r="BF259" s="150"/>
      <c r="BG259" s="150"/>
      <c r="BI259"/>
      <c r="BJ259"/>
      <c r="BK259"/>
      <c r="BL259"/>
    </row>
    <row r="260" spans="3:64" ht="14.6">
      <c r="C260" s="289"/>
      <c r="D260" s="150"/>
      <c r="E260" s="150"/>
      <c r="F260" s="150"/>
      <c r="G260" s="150"/>
      <c r="H260" s="150"/>
      <c r="I260" s="150"/>
      <c r="J260" s="150"/>
      <c r="K260" s="150"/>
      <c r="L260" s="150"/>
      <c r="M260" s="150"/>
      <c r="N260" s="150"/>
      <c r="O260" s="150"/>
      <c r="P260" s="150"/>
      <c r="Q260" s="150"/>
      <c r="R260" s="150"/>
      <c r="S260" s="150"/>
      <c r="T260" s="186"/>
      <c r="U260" s="186"/>
      <c r="V260" s="186"/>
      <c r="W260" s="186"/>
      <c r="X260" s="186"/>
      <c r="Y260" s="186"/>
      <c r="Z260" s="186"/>
      <c r="AA260" s="186"/>
      <c r="AB260" s="186"/>
      <c r="AC260" s="186"/>
      <c r="AD260" s="186"/>
      <c r="AF260" s="150"/>
      <c r="AG260" s="150"/>
      <c r="AH260" s="150"/>
      <c r="AI260" s="150"/>
      <c r="AJ260" s="150"/>
      <c r="AK260" s="150"/>
      <c r="AL260" s="150"/>
      <c r="AM260" s="150"/>
      <c r="AN260" s="150"/>
      <c r="AO260" s="150"/>
      <c r="AP260" s="150"/>
      <c r="AQ260" s="150"/>
      <c r="AT260" s="186"/>
      <c r="AU260" s="186"/>
      <c r="AV260" s="186"/>
      <c r="AW260" s="186"/>
      <c r="AX260" s="186"/>
      <c r="AY260" s="186"/>
      <c r="AZ260" s="186"/>
      <c r="BA260" s="186"/>
      <c r="BB260" s="186"/>
      <c r="BC260" s="186"/>
      <c r="BD260" s="186"/>
      <c r="BE260" s="186"/>
      <c r="BF260" s="150"/>
      <c r="BG260" s="150"/>
      <c r="BI260"/>
      <c r="BJ260"/>
      <c r="BK260"/>
      <c r="BL260"/>
    </row>
    <row r="261" spans="3:64" ht="14.6">
      <c r="C261" s="289"/>
      <c r="D261" s="150"/>
      <c r="E261" s="150"/>
      <c r="F261" s="150"/>
      <c r="G261" s="150"/>
      <c r="H261" s="150"/>
      <c r="I261" s="150"/>
      <c r="J261" s="150"/>
      <c r="K261" s="150"/>
      <c r="L261" s="150"/>
      <c r="M261" s="150"/>
      <c r="N261" s="150"/>
      <c r="O261" s="150"/>
      <c r="P261" s="150"/>
      <c r="Q261" s="150"/>
      <c r="R261" s="150"/>
      <c r="S261" s="150"/>
      <c r="T261" s="186"/>
      <c r="U261" s="186"/>
      <c r="V261" s="186"/>
      <c r="W261" s="186"/>
      <c r="X261" s="186"/>
      <c r="Y261" s="186"/>
      <c r="Z261" s="186"/>
      <c r="AA261" s="186"/>
      <c r="AB261" s="186"/>
      <c r="AC261" s="186"/>
      <c r="AD261" s="186"/>
      <c r="AF261" s="150"/>
      <c r="AG261" s="150"/>
      <c r="AH261" s="150"/>
      <c r="AI261" s="150"/>
      <c r="AJ261" s="150"/>
      <c r="AK261" s="150"/>
      <c r="AL261" s="150"/>
      <c r="AM261" s="150"/>
      <c r="AN261" s="150"/>
      <c r="AO261" s="150"/>
      <c r="AP261" s="150"/>
      <c r="AQ261" s="150"/>
      <c r="AT261" s="186"/>
      <c r="AU261" s="186"/>
      <c r="AV261" s="186"/>
      <c r="AW261" s="186"/>
      <c r="AX261" s="186"/>
      <c r="AY261" s="186"/>
      <c r="AZ261" s="186"/>
      <c r="BA261" s="186"/>
      <c r="BB261" s="186"/>
      <c r="BC261" s="186"/>
      <c r="BD261" s="186"/>
      <c r="BE261" s="186"/>
      <c r="BF261" s="150"/>
      <c r="BG261" s="150"/>
      <c r="BI261"/>
      <c r="BJ261"/>
      <c r="BK261"/>
      <c r="BL261"/>
    </row>
    <row r="262" spans="3:64" ht="14.6">
      <c r="C262" s="289"/>
      <c r="D262" s="150"/>
      <c r="E262" s="150"/>
      <c r="F262" s="150"/>
      <c r="G262" s="150"/>
      <c r="H262" s="150"/>
      <c r="I262" s="150"/>
      <c r="J262" s="150"/>
      <c r="K262" s="150"/>
      <c r="L262" s="150"/>
      <c r="M262" s="150"/>
      <c r="N262" s="150"/>
      <c r="O262" s="150"/>
      <c r="P262" s="150"/>
      <c r="Q262" s="150"/>
      <c r="R262" s="150"/>
      <c r="S262" s="150"/>
      <c r="T262" s="186"/>
      <c r="U262" s="186"/>
      <c r="V262" s="186"/>
      <c r="W262" s="186"/>
      <c r="X262" s="186"/>
      <c r="Y262" s="186"/>
      <c r="Z262" s="186"/>
      <c r="AA262" s="186"/>
      <c r="AB262" s="186"/>
      <c r="AC262" s="186"/>
      <c r="AD262" s="186"/>
      <c r="AF262" s="150"/>
      <c r="AG262" s="150"/>
      <c r="AH262" s="150"/>
      <c r="AI262" s="150"/>
      <c r="AJ262" s="150"/>
      <c r="AK262" s="150"/>
      <c r="AL262" s="150"/>
      <c r="AM262" s="150"/>
      <c r="AN262" s="150"/>
      <c r="AO262" s="150"/>
      <c r="AP262" s="150"/>
      <c r="AQ262" s="150"/>
      <c r="AT262" s="186"/>
      <c r="AU262" s="186"/>
      <c r="AV262" s="186"/>
      <c r="AW262" s="186"/>
      <c r="AX262" s="186"/>
      <c r="AY262" s="186"/>
      <c r="AZ262" s="186"/>
      <c r="BA262" s="186"/>
      <c r="BB262" s="186"/>
      <c r="BC262" s="186"/>
      <c r="BD262" s="186"/>
      <c r="BE262" s="186"/>
      <c r="BF262" s="150"/>
      <c r="BG262" s="150"/>
      <c r="BI262"/>
      <c r="BJ262"/>
      <c r="BK262"/>
      <c r="BL262"/>
    </row>
    <row r="263" spans="3:64" ht="14.6">
      <c r="C263" s="289"/>
      <c r="D263" s="150"/>
      <c r="E263" s="150"/>
      <c r="F263" s="150"/>
      <c r="G263" s="150"/>
      <c r="H263" s="150"/>
      <c r="I263" s="150"/>
      <c r="J263" s="150"/>
      <c r="K263" s="150"/>
      <c r="L263" s="150"/>
      <c r="M263" s="150"/>
      <c r="N263" s="150"/>
      <c r="O263" s="150"/>
      <c r="P263" s="150"/>
      <c r="Q263" s="150"/>
      <c r="R263" s="150"/>
      <c r="S263" s="150"/>
      <c r="T263" s="186"/>
      <c r="U263" s="186"/>
      <c r="V263" s="186"/>
      <c r="W263" s="186"/>
      <c r="X263" s="186"/>
      <c r="Y263" s="186"/>
      <c r="Z263" s="186"/>
      <c r="AA263" s="186"/>
      <c r="AB263" s="186"/>
      <c r="AC263" s="186"/>
      <c r="AD263" s="186"/>
      <c r="AF263" s="150"/>
      <c r="AG263" s="150"/>
      <c r="AH263" s="150"/>
      <c r="AI263" s="150"/>
      <c r="AJ263" s="150"/>
      <c r="AK263" s="150"/>
      <c r="AL263" s="150"/>
      <c r="AM263" s="150"/>
      <c r="AN263" s="150"/>
      <c r="AO263" s="150"/>
      <c r="AP263" s="150"/>
      <c r="AQ263" s="150"/>
      <c r="AT263" s="186"/>
      <c r="AU263" s="186"/>
      <c r="AV263" s="186"/>
      <c r="AW263" s="186"/>
      <c r="AX263" s="186"/>
      <c r="AY263" s="186"/>
      <c r="AZ263" s="186"/>
      <c r="BA263" s="186"/>
      <c r="BB263" s="186"/>
      <c r="BC263" s="186"/>
      <c r="BD263" s="186"/>
      <c r="BE263" s="186"/>
      <c r="BF263" s="150"/>
      <c r="BG263" s="150"/>
      <c r="BI263"/>
      <c r="BJ263"/>
      <c r="BK263"/>
      <c r="BL263"/>
    </row>
    <row r="264" spans="3:64" ht="14.6">
      <c r="C264" s="289"/>
      <c r="D264" s="150"/>
      <c r="E264" s="150"/>
      <c r="F264" s="150"/>
      <c r="G264" s="150"/>
      <c r="H264" s="150"/>
      <c r="I264" s="150"/>
      <c r="J264" s="150"/>
      <c r="K264" s="150"/>
      <c r="L264" s="150"/>
      <c r="M264" s="150"/>
      <c r="N264" s="150"/>
      <c r="O264" s="150"/>
      <c r="P264" s="150"/>
      <c r="Q264" s="150"/>
      <c r="R264" s="150"/>
      <c r="S264" s="150"/>
      <c r="T264" s="186"/>
      <c r="U264" s="186"/>
      <c r="V264" s="186"/>
      <c r="W264" s="186"/>
      <c r="X264" s="186"/>
      <c r="Y264" s="186"/>
      <c r="Z264" s="186"/>
      <c r="AA264" s="186"/>
      <c r="AB264" s="186"/>
      <c r="AC264" s="186"/>
      <c r="AD264" s="186"/>
      <c r="AF264" s="150"/>
      <c r="AG264" s="150"/>
      <c r="AH264" s="150"/>
      <c r="AI264" s="150"/>
      <c r="AJ264" s="150"/>
      <c r="AK264" s="150"/>
      <c r="AL264" s="150"/>
      <c r="AM264" s="150"/>
      <c r="AN264" s="150"/>
      <c r="AO264" s="150"/>
      <c r="AP264" s="150"/>
      <c r="AQ264" s="150"/>
      <c r="AT264" s="186"/>
      <c r="AU264" s="186"/>
      <c r="AV264" s="186"/>
      <c r="AW264" s="186"/>
      <c r="AX264" s="186"/>
      <c r="AY264" s="186"/>
      <c r="AZ264" s="186"/>
      <c r="BA264" s="186"/>
      <c r="BB264" s="186"/>
      <c r="BC264" s="186"/>
      <c r="BD264" s="186"/>
      <c r="BE264" s="186"/>
      <c r="BF264" s="150"/>
      <c r="BG264" s="150"/>
      <c r="BI264"/>
      <c r="BJ264"/>
      <c r="BK264"/>
      <c r="BL264"/>
    </row>
    <row r="265" spans="3:64" ht="14.6">
      <c r="C265" s="289"/>
      <c r="D265" s="150"/>
      <c r="E265" s="150"/>
      <c r="F265" s="150"/>
      <c r="G265" s="150"/>
      <c r="H265" s="150"/>
      <c r="I265" s="150"/>
      <c r="J265" s="150"/>
      <c r="K265" s="150"/>
      <c r="L265" s="150"/>
      <c r="M265" s="150"/>
      <c r="N265" s="150"/>
      <c r="O265" s="150"/>
      <c r="P265" s="150"/>
      <c r="Q265" s="150"/>
      <c r="R265" s="150"/>
      <c r="S265" s="150"/>
      <c r="T265" s="186"/>
      <c r="U265" s="186"/>
      <c r="V265" s="186"/>
      <c r="W265" s="186"/>
      <c r="X265" s="186"/>
      <c r="Y265" s="186"/>
      <c r="Z265" s="186"/>
      <c r="AA265" s="186"/>
      <c r="AB265" s="186"/>
      <c r="AC265" s="186"/>
      <c r="AD265" s="186"/>
      <c r="AF265" s="150"/>
      <c r="AG265" s="150"/>
      <c r="AH265" s="150"/>
      <c r="AI265" s="150"/>
      <c r="AJ265" s="150"/>
      <c r="AK265" s="150"/>
      <c r="AL265" s="150"/>
      <c r="AM265" s="150"/>
      <c r="AN265" s="150"/>
      <c r="AO265" s="150"/>
      <c r="AP265" s="150"/>
      <c r="AQ265" s="150"/>
      <c r="AT265" s="186"/>
      <c r="AU265" s="186"/>
      <c r="AV265" s="186"/>
      <c r="AW265" s="186"/>
      <c r="AX265" s="186"/>
      <c r="AY265" s="186"/>
      <c r="AZ265" s="186"/>
      <c r="BA265" s="186"/>
      <c r="BB265" s="186"/>
      <c r="BC265" s="186"/>
      <c r="BD265" s="186"/>
      <c r="BE265" s="186"/>
      <c r="BF265" s="150"/>
      <c r="BG265" s="150"/>
      <c r="BI265"/>
      <c r="BJ265"/>
      <c r="BK265"/>
      <c r="BL265"/>
    </row>
    <row r="266" spans="3:64" ht="14.6">
      <c r="C266" s="289"/>
      <c r="D266" s="150"/>
      <c r="E266" s="150"/>
      <c r="F266" s="150"/>
      <c r="G266" s="150"/>
      <c r="H266" s="150"/>
      <c r="I266" s="150"/>
      <c r="J266" s="150"/>
      <c r="K266" s="150"/>
      <c r="L266" s="150"/>
      <c r="M266" s="150"/>
      <c r="N266" s="150"/>
      <c r="O266" s="150"/>
      <c r="P266" s="150"/>
      <c r="Q266" s="150"/>
      <c r="R266" s="150"/>
      <c r="S266" s="150"/>
      <c r="T266" s="186"/>
      <c r="U266" s="186"/>
      <c r="V266" s="186"/>
      <c r="W266" s="186"/>
      <c r="X266" s="186"/>
      <c r="Y266" s="186"/>
      <c r="Z266" s="186"/>
      <c r="AA266" s="186"/>
      <c r="AB266" s="186"/>
      <c r="AC266" s="186"/>
      <c r="AD266" s="186"/>
      <c r="AF266" s="150"/>
      <c r="AG266" s="150"/>
      <c r="AH266" s="150"/>
      <c r="AI266" s="150"/>
      <c r="AJ266" s="150"/>
      <c r="AK266" s="150"/>
      <c r="AL266" s="150"/>
      <c r="AM266" s="150"/>
      <c r="AN266" s="150"/>
      <c r="AO266" s="150"/>
      <c r="AP266" s="150"/>
      <c r="AQ266" s="150"/>
      <c r="AT266" s="186"/>
      <c r="AU266" s="186"/>
      <c r="AV266" s="186"/>
      <c r="AW266" s="186"/>
      <c r="AX266" s="186"/>
      <c r="AY266" s="186"/>
      <c r="AZ266" s="186"/>
      <c r="BA266" s="186"/>
      <c r="BB266" s="186"/>
      <c r="BC266" s="186"/>
      <c r="BD266" s="186"/>
      <c r="BE266" s="186"/>
      <c r="BF266" s="150"/>
      <c r="BG266" s="150"/>
      <c r="BI266"/>
      <c r="BJ266"/>
      <c r="BK266"/>
      <c r="BL266"/>
    </row>
    <row r="267" spans="3:64" ht="14.6">
      <c r="C267" s="289"/>
      <c r="D267" s="150"/>
      <c r="E267" s="150"/>
      <c r="F267" s="150"/>
      <c r="G267" s="150"/>
      <c r="H267" s="150"/>
      <c r="I267" s="150"/>
      <c r="J267" s="150"/>
      <c r="K267" s="150"/>
      <c r="L267" s="150"/>
      <c r="M267" s="150"/>
      <c r="N267" s="150"/>
      <c r="O267" s="150"/>
      <c r="P267" s="150"/>
      <c r="Q267" s="150"/>
      <c r="R267" s="150"/>
      <c r="S267" s="150"/>
      <c r="T267" s="186"/>
      <c r="U267" s="186"/>
      <c r="V267" s="186"/>
      <c r="W267" s="186"/>
      <c r="X267" s="186"/>
      <c r="Y267" s="186"/>
      <c r="Z267" s="186"/>
      <c r="AA267" s="186"/>
      <c r="AB267" s="186"/>
      <c r="AC267" s="186"/>
      <c r="AD267" s="186"/>
      <c r="AF267" s="150"/>
      <c r="AG267" s="150"/>
      <c r="AH267" s="150"/>
      <c r="AI267" s="150"/>
      <c r="AJ267" s="150"/>
      <c r="AK267" s="150"/>
      <c r="AL267" s="150"/>
      <c r="AM267" s="150"/>
      <c r="AN267" s="150"/>
      <c r="AO267" s="150"/>
      <c r="AP267" s="150"/>
      <c r="AQ267" s="150"/>
      <c r="AT267" s="186"/>
      <c r="AU267" s="186"/>
      <c r="AV267" s="186"/>
      <c r="AW267" s="186"/>
      <c r="AX267" s="186"/>
      <c r="AY267" s="186"/>
      <c r="AZ267" s="186"/>
      <c r="BA267" s="186"/>
      <c r="BB267" s="186"/>
      <c r="BC267" s="186"/>
      <c r="BD267" s="186"/>
      <c r="BE267" s="186"/>
      <c r="BF267" s="150"/>
      <c r="BG267" s="150"/>
      <c r="BI267"/>
      <c r="BJ267"/>
      <c r="BK267"/>
      <c r="BL267"/>
    </row>
    <row r="268" spans="3:64" ht="14.6">
      <c r="C268" s="289"/>
      <c r="D268" s="150"/>
      <c r="E268" s="150"/>
      <c r="F268" s="150"/>
      <c r="G268" s="150"/>
      <c r="H268" s="150"/>
      <c r="I268" s="150"/>
      <c r="J268" s="150"/>
      <c r="K268" s="150"/>
      <c r="L268" s="150"/>
      <c r="M268" s="150"/>
      <c r="N268" s="150"/>
      <c r="O268" s="150"/>
      <c r="P268" s="150"/>
      <c r="Q268" s="150"/>
      <c r="R268" s="150"/>
      <c r="S268" s="150"/>
      <c r="T268" s="186"/>
      <c r="U268" s="186"/>
      <c r="V268" s="186"/>
      <c r="W268" s="186"/>
      <c r="X268" s="186"/>
      <c r="Y268" s="186"/>
      <c r="Z268" s="186"/>
      <c r="AA268" s="186"/>
      <c r="AB268" s="186"/>
      <c r="AC268" s="186"/>
      <c r="AD268" s="186"/>
      <c r="AF268" s="150"/>
      <c r="AG268" s="150"/>
      <c r="AH268" s="150"/>
      <c r="AI268" s="150"/>
      <c r="AJ268" s="150"/>
      <c r="AK268" s="150"/>
      <c r="AL268" s="150"/>
      <c r="AM268" s="150"/>
      <c r="AN268" s="150"/>
      <c r="AO268" s="150"/>
      <c r="AP268" s="150"/>
      <c r="AQ268" s="150"/>
      <c r="AT268" s="186"/>
      <c r="AU268" s="186"/>
      <c r="AV268" s="186"/>
      <c r="AW268" s="186"/>
      <c r="AX268" s="186"/>
      <c r="AY268" s="186"/>
      <c r="AZ268" s="186"/>
      <c r="BA268" s="186"/>
      <c r="BB268" s="186"/>
      <c r="BC268" s="186"/>
      <c r="BD268" s="186"/>
      <c r="BE268" s="186"/>
      <c r="BF268" s="150"/>
      <c r="BG268" s="150"/>
      <c r="BI268"/>
      <c r="BJ268"/>
      <c r="BK268"/>
      <c r="BL268"/>
    </row>
    <row r="269" spans="3:64" ht="14.6">
      <c r="C269" s="289"/>
      <c r="D269" s="150"/>
      <c r="E269" s="150"/>
      <c r="F269" s="150"/>
      <c r="G269" s="150"/>
      <c r="H269" s="150"/>
      <c r="I269" s="150"/>
      <c r="J269" s="150"/>
      <c r="K269" s="150"/>
      <c r="L269" s="150"/>
      <c r="M269" s="150"/>
      <c r="N269" s="150"/>
      <c r="O269" s="150"/>
      <c r="P269" s="150"/>
      <c r="Q269" s="150"/>
      <c r="R269" s="150"/>
      <c r="S269" s="150"/>
      <c r="T269" s="186"/>
      <c r="U269" s="186"/>
      <c r="V269" s="186"/>
      <c r="W269" s="186"/>
      <c r="X269" s="186"/>
      <c r="Y269" s="186"/>
      <c r="Z269" s="186"/>
      <c r="AA269" s="186"/>
      <c r="AB269" s="186"/>
      <c r="AC269" s="186"/>
      <c r="AD269" s="186"/>
      <c r="AF269" s="150"/>
      <c r="AG269" s="150"/>
      <c r="AH269" s="150"/>
      <c r="AI269" s="150"/>
      <c r="AJ269" s="150"/>
      <c r="AK269" s="150"/>
      <c r="AL269" s="150"/>
      <c r="AM269" s="150"/>
      <c r="AN269" s="150"/>
      <c r="AO269" s="150"/>
      <c r="AP269" s="150"/>
      <c r="AQ269" s="150"/>
      <c r="AT269" s="186"/>
      <c r="AU269" s="186"/>
      <c r="AV269" s="186"/>
      <c r="AW269" s="186"/>
      <c r="AX269" s="186"/>
      <c r="AY269" s="186"/>
      <c r="AZ269" s="186"/>
      <c r="BA269" s="186"/>
      <c r="BB269" s="186"/>
      <c r="BC269" s="186"/>
      <c r="BD269" s="186"/>
      <c r="BE269" s="186"/>
      <c r="BF269" s="150"/>
      <c r="BG269" s="150"/>
      <c r="BI269"/>
      <c r="BJ269"/>
      <c r="BK269"/>
      <c r="BL269"/>
    </row>
    <row r="270" spans="3:64" ht="14.6">
      <c r="C270" s="289"/>
      <c r="D270" s="150"/>
      <c r="E270" s="150"/>
      <c r="F270" s="150"/>
      <c r="G270" s="150"/>
      <c r="H270" s="150"/>
      <c r="I270" s="150"/>
      <c r="J270" s="150"/>
      <c r="K270" s="150"/>
      <c r="L270" s="150"/>
      <c r="M270" s="150"/>
      <c r="N270" s="150"/>
      <c r="O270" s="150"/>
      <c r="P270" s="150"/>
      <c r="Q270" s="150"/>
      <c r="R270" s="150"/>
      <c r="S270" s="150"/>
      <c r="T270" s="186"/>
      <c r="U270" s="186"/>
      <c r="V270" s="186"/>
      <c r="W270" s="186"/>
      <c r="X270" s="186"/>
      <c r="Y270" s="186"/>
      <c r="Z270" s="186"/>
      <c r="AA270" s="186"/>
      <c r="AB270" s="186"/>
      <c r="AC270" s="186"/>
      <c r="AD270" s="186"/>
      <c r="AF270" s="150"/>
      <c r="AG270" s="150"/>
      <c r="AH270" s="150"/>
      <c r="AI270" s="150"/>
      <c r="AJ270" s="150"/>
      <c r="AK270" s="150"/>
      <c r="AL270" s="150"/>
      <c r="AM270" s="150"/>
      <c r="AN270" s="150"/>
      <c r="AO270" s="150"/>
      <c r="AP270" s="150"/>
      <c r="AQ270" s="150"/>
      <c r="AT270" s="186"/>
      <c r="AU270" s="186"/>
      <c r="AV270" s="186"/>
      <c r="AW270" s="186"/>
      <c r="AX270" s="186"/>
      <c r="AY270" s="186"/>
      <c r="AZ270" s="186"/>
      <c r="BA270" s="186"/>
      <c r="BB270" s="186"/>
      <c r="BC270" s="186"/>
      <c r="BD270" s="186"/>
      <c r="BE270" s="186"/>
      <c r="BF270" s="150"/>
      <c r="BG270" s="150"/>
      <c r="BI270"/>
      <c r="BJ270"/>
      <c r="BK270"/>
      <c r="BL270"/>
    </row>
    <row r="271" spans="3:64" ht="14.6">
      <c r="C271" s="289"/>
      <c r="D271" s="150"/>
      <c r="E271" s="150"/>
      <c r="F271" s="150"/>
      <c r="G271" s="150"/>
      <c r="H271" s="150"/>
      <c r="I271" s="150"/>
      <c r="J271" s="150"/>
      <c r="K271" s="150"/>
      <c r="L271" s="150"/>
      <c r="M271" s="150"/>
      <c r="N271" s="150"/>
      <c r="O271" s="150"/>
      <c r="P271" s="150"/>
      <c r="Q271" s="150"/>
      <c r="R271" s="150"/>
      <c r="S271" s="150"/>
      <c r="T271" s="186"/>
      <c r="U271" s="186"/>
      <c r="V271" s="186"/>
      <c r="W271" s="186"/>
      <c r="X271" s="186"/>
      <c r="Y271" s="186"/>
      <c r="Z271" s="186"/>
      <c r="AA271" s="186"/>
      <c r="AB271" s="186"/>
      <c r="AC271" s="186"/>
      <c r="AD271" s="186"/>
      <c r="AF271" s="150"/>
      <c r="AG271" s="150"/>
      <c r="AH271" s="150"/>
      <c r="AI271" s="150"/>
      <c r="AJ271" s="150"/>
      <c r="AK271" s="150"/>
      <c r="AL271" s="150"/>
      <c r="AM271" s="150"/>
      <c r="AN271" s="150"/>
      <c r="AO271" s="150"/>
      <c r="AP271" s="150"/>
      <c r="AQ271" s="150"/>
      <c r="AT271" s="186"/>
      <c r="AU271" s="186"/>
      <c r="AV271" s="186"/>
      <c r="AW271" s="186"/>
      <c r="AX271" s="186"/>
      <c r="AY271" s="186"/>
      <c r="AZ271" s="186"/>
      <c r="BA271" s="186"/>
      <c r="BB271" s="186"/>
      <c r="BC271" s="186"/>
      <c r="BD271" s="186"/>
      <c r="BE271" s="186"/>
      <c r="BF271" s="150"/>
      <c r="BG271" s="150"/>
      <c r="BI271"/>
      <c r="BJ271"/>
      <c r="BK271"/>
      <c r="BL271"/>
    </row>
    <row r="272" spans="3:64" ht="14.6">
      <c r="C272" s="289"/>
      <c r="D272" s="150"/>
      <c r="E272" s="150"/>
      <c r="F272" s="150"/>
      <c r="G272" s="150"/>
      <c r="H272" s="150"/>
      <c r="I272" s="150"/>
      <c r="J272" s="150"/>
      <c r="K272" s="150"/>
      <c r="L272" s="150"/>
      <c r="M272" s="150"/>
      <c r="N272" s="150"/>
      <c r="O272" s="150"/>
      <c r="P272" s="150"/>
      <c r="Q272" s="150"/>
      <c r="R272" s="150"/>
      <c r="S272" s="150"/>
      <c r="T272" s="186"/>
      <c r="U272" s="186"/>
      <c r="V272" s="186"/>
      <c r="W272" s="186"/>
      <c r="X272" s="186"/>
      <c r="Y272" s="186"/>
      <c r="Z272" s="186"/>
      <c r="AA272" s="186"/>
      <c r="AB272" s="186"/>
      <c r="AC272" s="186"/>
      <c r="AD272" s="186"/>
      <c r="AF272" s="150"/>
      <c r="AG272" s="150"/>
      <c r="AH272" s="150"/>
      <c r="AI272" s="150"/>
      <c r="AJ272" s="150"/>
      <c r="AK272" s="150"/>
      <c r="AL272" s="150"/>
      <c r="AM272" s="150"/>
      <c r="AN272" s="150"/>
      <c r="AO272" s="150"/>
      <c r="AP272" s="150"/>
      <c r="AQ272" s="150"/>
      <c r="AT272" s="186"/>
      <c r="AU272" s="186"/>
      <c r="AV272" s="186"/>
      <c r="AW272" s="186"/>
      <c r="AX272" s="186"/>
      <c r="AY272" s="186"/>
      <c r="AZ272" s="186"/>
      <c r="BA272" s="186"/>
      <c r="BB272" s="186"/>
      <c r="BC272" s="186"/>
      <c r="BD272" s="186"/>
      <c r="BE272" s="186"/>
      <c r="BF272" s="150"/>
      <c r="BG272" s="150"/>
      <c r="BI272"/>
      <c r="BJ272"/>
      <c r="BK272"/>
      <c r="BL272"/>
    </row>
    <row r="273" spans="3:64" ht="14.6">
      <c r="C273" s="289"/>
      <c r="D273" s="150"/>
      <c r="E273" s="150"/>
      <c r="F273" s="150"/>
      <c r="G273" s="150"/>
      <c r="H273" s="150"/>
      <c r="I273" s="150"/>
      <c r="J273" s="150"/>
      <c r="K273" s="150"/>
      <c r="L273" s="150"/>
      <c r="M273" s="150"/>
      <c r="N273" s="150"/>
      <c r="O273" s="150"/>
      <c r="P273" s="150"/>
      <c r="Q273" s="150"/>
      <c r="R273" s="150"/>
      <c r="S273" s="150"/>
      <c r="T273" s="186"/>
      <c r="U273" s="186"/>
      <c r="V273" s="186"/>
      <c r="W273" s="186"/>
      <c r="X273" s="186"/>
      <c r="Y273" s="186"/>
      <c r="Z273" s="186"/>
      <c r="AA273" s="186"/>
      <c r="AB273" s="186"/>
      <c r="AC273" s="186"/>
      <c r="AD273" s="186"/>
      <c r="AF273" s="150"/>
      <c r="AG273" s="150"/>
      <c r="AH273" s="150"/>
      <c r="AI273" s="150"/>
      <c r="AJ273" s="150"/>
      <c r="AK273" s="150"/>
      <c r="AL273" s="150"/>
      <c r="AM273" s="150"/>
      <c r="AN273" s="150"/>
      <c r="AO273" s="150"/>
      <c r="AP273" s="150"/>
      <c r="AQ273" s="150"/>
      <c r="AT273" s="186"/>
      <c r="AU273" s="186"/>
      <c r="AV273" s="186"/>
      <c r="AW273" s="186"/>
      <c r="AX273" s="186"/>
      <c r="AY273" s="186"/>
      <c r="AZ273" s="186"/>
      <c r="BA273" s="186"/>
      <c r="BB273" s="186"/>
      <c r="BC273" s="186"/>
      <c r="BD273" s="186"/>
      <c r="BE273" s="186"/>
      <c r="BF273" s="150"/>
      <c r="BG273" s="150"/>
      <c r="BI273"/>
      <c r="BJ273"/>
      <c r="BK273"/>
      <c r="BL273"/>
    </row>
    <row r="274" spans="3:64" ht="14.6">
      <c r="C274" s="289"/>
      <c r="D274" s="150"/>
      <c r="E274" s="150"/>
      <c r="F274" s="150"/>
      <c r="G274" s="150"/>
      <c r="H274" s="150"/>
      <c r="I274" s="150"/>
      <c r="J274" s="150"/>
      <c r="K274" s="150"/>
      <c r="L274" s="150"/>
      <c r="M274" s="150"/>
      <c r="N274" s="150"/>
      <c r="O274" s="150"/>
      <c r="P274" s="150"/>
      <c r="Q274" s="150"/>
      <c r="R274" s="150"/>
      <c r="S274" s="150"/>
      <c r="T274" s="186"/>
      <c r="U274" s="186"/>
      <c r="V274" s="186"/>
      <c r="W274" s="186"/>
      <c r="X274" s="186"/>
      <c r="Y274" s="186"/>
      <c r="Z274" s="186"/>
      <c r="AA274" s="186"/>
      <c r="AB274" s="186"/>
      <c r="AC274" s="186"/>
      <c r="AD274" s="186"/>
      <c r="AF274" s="150"/>
      <c r="AG274" s="150"/>
      <c r="AH274" s="150"/>
      <c r="AI274" s="150"/>
      <c r="AJ274" s="150"/>
      <c r="AK274" s="150"/>
      <c r="AL274" s="150"/>
      <c r="AM274" s="150"/>
      <c r="AN274" s="150"/>
      <c r="AO274" s="150"/>
      <c r="AP274" s="150"/>
      <c r="AQ274" s="150"/>
      <c r="AT274" s="186"/>
      <c r="AU274" s="186"/>
      <c r="AV274" s="186"/>
      <c r="AW274" s="186"/>
      <c r="AX274" s="186"/>
      <c r="AY274" s="186"/>
      <c r="AZ274" s="186"/>
      <c r="BA274" s="186"/>
      <c r="BB274" s="186"/>
      <c r="BC274" s="186"/>
      <c r="BD274" s="186"/>
      <c r="BE274" s="186"/>
      <c r="BF274" s="150"/>
      <c r="BG274" s="150"/>
      <c r="BI274"/>
      <c r="BJ274"/>
      <c r="BK274"/>
      <c r="BL274"/>
    </row>
    <row r="275" spans="3:64" ht="14.6">
      <c r="C275" s="289"/>
      <c r="D275" s="150"/>
      <c r="E275" s="150"/>
      <c r="F275" s="150"/>
      <c r="G275" s="150"/>
      <c r="H275" s="150"/>
      <c r="I275" s="150"/>
      <c r="J275" s="150"/>
      <c r="K275" s="150"/>
      <c r="L275" s="150"/>
      <c r="M275" s="150"/>
      <c r="N275" s="150"/>
      <c r="O275" s="150"/>
      <c r="P275" s="150"/>
      <c r="Q275" s="150"/>
      <c r="R275" s="150"/>
      <c r="S275" s="150"/>
      <c r="T275" s="186"/>
      <c r="U275" s="186"/>
      <c r="V275" s="186"/>
      <c r="W275" s="186"/>
      <c r="X275" s="186"/>
      <c r="Y275" s="186"/>
      <c r="Z275" s="186"/>
      <c r="AA275" s="186"/>
      <c r="AB275" s="186"/>
      <c r="AC275" s="186"/>
      <c r="AD275" s="186"/>
      <c r="AF275" s="150"/>
      <c r="AG275" s="150"/>
      <c r="AH275" s="150"/>
      <c r="AI275" s="150"/>
      <c r="AJ275" s="150"/>
      <c r="AK275" s="150"/>
      <c r="AL275" s="150"/>
      <c r="AM275" s="150"/>
      <c r="AN275" s="150"/>
      <c r="AO275" s="150"/>
      <c r="AP275" s="150"/>
      <c r="AQ275" s="150"/>
      <c r="AT275" s="186"/>
      <c r="AU275" s="186"/>
      <c r="AV275" s="186"/>
      <c r="AW275" s="186"/>
      <c r="AX275" s="186"/>
      <c r="AY275" s="186"/>
      <c r="AZ275" s="186"/>
      <c r="BA275" s="186"/>
      <c r="BB275" s="186"/>
      <c r="BC275" s="186"/>
      <c r="BD275" s="186"/>
      <c r="BE275" s="186"/>
      <c r="BF275" s="150"/>
      <c r="BG275" s="150"/>
      <c r="BI275"/>
      <c r="BJ275"/>
      <c r="BK275"/>
      <c r="BL275"/>
    </row>
    <row r="276" spans="3:64" ht="14.6">
      <c r="C276" s="289"/>
      <c r="D276" s="150"/>
      <c r="E276" s="150"/>
      <c r="F276" s="150"/>
      <c r="G276" s="150"/>
      <c r="H276" s="150"/>
      <c r="I276" s="150"/>
      <c r="J276" s="150"/>
      <c r="K276" s="150"/>
      <c r="L276" s="150"/>
      <c r="M276" s="150"/>
      <c r="N276" s="150"/>
      <c r="O276" s="150"/>
      <c r="P276" s="150"/>
      <c r="Q276" s="150"/>
      <c r="R276" s="150"/>
      <c r="S276" s="150"/>
      <c r="T276" s="186"/>
      <c r="U276" s="186"/>
      <c r="V276" s="186"/>
      <c r="W276" s="186"/>
      <c r="X276" s="186"/>
      <c r="Y276" s="186"/>
      <c r="Z276" s="186"/>
      <c r="AA276" s="186"/>
      <c r="AB276" s="186"/>
      <c r="AC276" s="186"/>
      <c r="AD276" s="186"/>
      <c r="AF276" s="150"/>
      <c r="AG276" s="150"/>
      <c r="AH276" s="150"/>
      <c r="AI276" s="150"/>
      <c r="AJ276" s="150"/>
      <c r="AK276" s="150"/>
      <c r="AL276" s="150"/>
      <c r="AM276" s="150"/>
      <c r="AN276" s="150"/>
      <c r="AO276" s="150"/>
      <c r="AP276" s="150"/>
      <c r="AQ276" s="150"/>
      <c r="AT276" s="186"/>
      <c r="AU276" s="186"/>
      <c r="AV276" s="186"/>
      <c r="AW276" s="186"/>
      <c r="AX276" s="186"/>
      <c r="AY276" s="186"/>
      <c r="AZ276" s="186"/>
      <c r="BA276" s="186"/>
      <c r="BB276" s="186"/>
      <c r="BC276" s="186"/>
      <c r="BD276" s="186"/>
      <c r="BE276" s="186"/>
      <c r="BF276" s="150"/>
      <c r="BG276" s="150"/>
      <c r="BI276"/>
      <c r="BJ276"/>
      <c r="BK276"/>
      <c r="BL276"/>
    </row>
    <row r="277" spans="3:64" ht="14.6">
      <c r="C277" s="289"/>
      <c r="D277" s="150"/>
      <c r="E277" s="150"/>
      <c r="F277" s="150"/>
      <c r="G277" s="150"/>
      <c r="H277" s="150"/>
      <c r="I277" s="150"/>
      <c r="J277" s="150"/>
      <c r="K277" s="150"/>
      <c r="L277" s="150"/>
      <c r="M277" s="150"/>
      <c r="N277" s="150"/>
      <c r="O277" s="150"/>
      <c r="P277" s="150"/>
      <c r="Q277" s="150"/>
      <c r="R277" s="150"/>
      <c r="S277" s="150"/>
      <c r="T277" s="186"/>
      <c r="U277" s="186"/>
      <c r="V277" s="186"/>
      <c r="W277" s="186"/>
      <c r="X277" s="186"/>
      <c r="Y277" s="186"/>
      <c r="Z277" s="186"/>
      <c r="AA277" s="186"/>
      <c r="AB277" s="186"/>
      <c r="AC277" s="186"/>
      <c r="AD277" s="186"/>
      <c r="AF277" s="150"/>
      <c r="AG277" s="150"/>
      <c r="AH277" s="150"/>
      <c r="AI277" s="150"/>
      <c r="AJ277" s="150"/>
      <c r="AK277" s="150"/>
      <c r="AL277" s="150"/>
      <c r="AM277" s="150"/>
      <c r="AN277" s="150"/>
      <c r="AO277" s="150"/>
      <c r="AP277" s="150"/>
      <c r="AQ277" s="150"/>
      <c r="AT277" s="186"/>
      <c r="AU277" s="186"/>
      <c r="AV277" s="186"/>
      <c r="AW277" s="186"/>
      <c r="AX277" s="186"/>
      <c r="AY277" s="186"/>
      <c r="AZ277" s="186"/>
      <c r="BA277" s="186"/>
      <c r="BB277" s="186"/>
      <c r="BC277" s="186"/>
      <c r="BD277" s="186"/>
      <c r="BE277" s="186"/>
      <c r="BF277" s="150"/>
      <c r="BG277" s="150"/>
      <c r="BI277"/>
      <c r="BJ277"/>
      <c r="BK277"/>
      <c r="BL277"/>
    </row>
    <row r="278" spans="3:64" ht="14.6">
      <c r="C278" s="289"/>
      <c r="D278" s="150"/>
      <c r="E278" s="150"/>
      <c r="F278" s="150"/>
      <c r="G278" s="150"/>
      <c r="H278" s="150"/>
      <c r="I278" s="150"/>
      <c r="J278" s="150"/>
      <c r="K278" s="150"/>
      <c r="L278" s="150"/>
      <c r="M278" s="150"/>
      <c r="N278" s="150"/>
      <c r="O278" s="150"/>
      <c r="P278" s="150"/>
      <c r="Q278" s="150"/>
      <c r="R278" s="150"/>
      <c r="S278" s="150"/>
      <c r="T278" s="186"/>
      <c r="U278" s="186"/>
      <c r="V278" s="186"/>
      <c r="W278" s="186"/>
      <c r="X278" s="186"/>
      <c r="Y278" s="186"/>
      <c r="Z278" s="186"/>
      <c r="AA278" s="186"/>
      <c r="AB278" s="186"/>
      <c r="AC278" s="186"/>
      <c r="AD278" s="186"/>
      <c r="AF278" s="150"/>
      <c r="AG278" s="150"/>
      <c r="AH278" s="150"/>
      <c r="AI278" s="150"/>
      <c r="AJ278" s="150"/>
      <c r="AK278" s="150"/>
      <c r="AL278" s="150"/>
      <c r="AM278" s="150"/>
      <c r="AN278" s="150"/>
      <c r="AO278" s="150"/>
      <c r="AP278" s="150"/>
      <c r="AQ278" s="150"/>
      <c r="AT278" s="186"/>
      <c r="AU278" s="186"/>
      <c r="AV278" s="186"/>
      <c r="AW278" s="186"/>
      <c r="AX278" s="186"/>
      <c r="AY278" s="186"/>
      <c r="AZ278" s="186"/>
      <c r="BA278" s="186"/>
      <c r="BB278" s="186"/>
      <c r="BC278" s="186"/>
      <c r="BD278" s="186"/>
      <c r="BE278" s="186"/>
      <c r="BF278" s="150"/>
      <c r="BG278" s="150"/>
      <c r="BI278"/>
      <c r="BJ278"/>
      <c r="BK278"/>
      <c r="BL278"/>
    </row>
    <row r="279" spans="3:64" ht="14.6">
      <c r="C279" s="289"/>
      <c r="D279" s="150"/>
      <c r="E279" s="150"/>
      <c r="F279" s="150"/>
      <c r="G279" s="150"/>
      <c r="H279" s="150"/>
      <c r="I279" s="150"/>
      <c r="J279" s="150"/>
      <c r="K279" s="150"/>
      <c r="L279" s="150"/>
      <c r="M279" s="150"/>
      <c r="N279" s="150"/>
      <c r="O279" s="150"/>
      <c r="P279" s="150"/>
      <c r="Q279" s="150"/>
      <c r="R279" s="150"/>
      <c r="S279" s="150"/>
      <c r="T279" s="186"/>
      <c r="U279" s="186"/>
      <c r="V279" s="186"/>
      <c r="W279" s="186"/>
      <c r="X279" s="186"/>
      <c r="Y279" s="186"/>
      <c r="Z279" s="186"/>
      <c r="AA279" s="186"/>
      <c r="AB279" s="186"/>
      <c r="AC279" s="186"/>
      <c r="AD279" s="186"/>
      <c r="AF279" s="150"/>
      <c r="AG279" s="150"/>
      <c r="AH279" s="150"/>
      <c r="AI279" s="150"/>
      <c r="AJ279" s="150"/>
      <c r="AK279" s="150"/>
      <c r="AL279" s="150"/>
      <c r="AM279" s="150"/>
      <c r="AN279" s="150"/>
      <c r="AO279" s="150"/>
      <c r="AP279" s="150"/>
      <c r="AQ279" s="150"/>
      <c r="AT279" s="186"/>
      <c r="AU279" s="186"/>
      <c r="AV279" s="186"/>
      <c r="AW279" s="186"/>
      <c r="AX279" s="186"/>
      <c r="AY279" s="186"/>
      <c r="AZ279" s="186"/>
      <c r="BA279" s="186"/>
      <c r="BB279" s="186"/>
      <c r="BC279" s="186"/>
      <c r="BD279" s="186"/>
      <c r="BE279" s="186"/>
      <c r="BF279" s="150"/>
      <c r="BG279" s="150"/>
      <c r="BI279"/>
      <c r="BJ279"/>
      <c r="BK279"/>
      <c r="BL279"/>
    </row>
    <row r="280" spans="3:64" ht="14.6">
      <c r="C280" s="289"/>
      <c r="D280" s="150"/>
      <c r="E280" s="150"/>
      <c r="F280" s="150"/>
      <c r="G280" s="150"/>
      <c r="H280" s="150"/>
      <c r="I280" s="150"/>
      <c r="J280" s="150"/>
      <c r="K280" s="150"/>
      <c r="L280" s="150"/>
      <c r="M280" s="150"/>
      <c r="N280" s="150"/>
      <c r="O280" s="150"/>
      <c r="P280" s="150"/>
      <c r="Q280" s="150"/>
      <c r="R280" s="150"/>
      <c r="S280" s="150"/>
      <c r="T280" s="186"/>
      <c r="U280" s="186"/>
      <c r="V280" s="186"/>
      <c r="W280" s="186"/>
      <c r="X280" s="186"/>
      <c r="Y280" s="186"/>
      <c r="Z280" s="186"/>
      <c r="AA280" s="186"/>
      <c r="AB280" s="186"/>
      <c r="AC280" s="186"/>
      <c r="AD280" s="186"/>
      <c r="AF280" s="150"/>
      <c r="AG280" s="150"/>
      <c r="AH280" s="150"/>
      <c r="AI280" s="150"/>
      <c r="AJ280" s="150"/>
      <c r="AK280" s="150"/>
      <c r="AL280" s="150"/>
      <c r="AM280" s="150"/>
      <c r="AN280" s="150"/>
      <c r="AO280" s="150"/>
      <c r="AP280" s="150"/>
      <c r="AQ280" s="150"/>
      <c r="AT280" s="186"/>
      <c r="AU280" s="186"/>
      <c r="AV280" s="186"/>
      <c r="AW280" s="186"/>
      <c r="AX280" s="186"/>
      <c r="AY280" s="186"/>
      <c r="AZ280" s="186"/>
      <c r="BA280" s="186"/>
      <c r="BB280" s="186"/>
      <c r="BC280" s="186"/>
      <c r="BD280" s="186"/>
      <c r="BE280" s="186"/>
      <c r="BF280" s="150"/>
      <c r="BG280" s="150"/>
      <c r="BI280"/>
      <c r="BJ280"/>
      <c r="BK280"/>
      <c r="BL280"/>
    </row>
    <row r="281" spans="3:64" ht="14.6">
      <c r="C281" s="289"/>
      <c r="D281" s="150"/>
      <c r="E281" s="150"/>
      <c r="F281" s="150"/>
      <c r="G281" s="150"/>
      <c r="H281" s="150"/>
      <c r="I281" s="150"/>
      <c r="J281" s="150"/>
      <c r="K281" s="150"/>
      <c r="L281" s="150"/>
      <c r="M281" s="150"/>
      <c r="N281" s="150"/>
      <c r="O281" s="150"/>
      <c r="P281" s="150"/>
      <c r="Q281" s="150"/>
      <c r="R281" s="150"/>
      <c r="S281" s="150"/>
      <c r="T281" s="186"/>
      <c r="U281" s="186"/>
      <c r="V281" s="186"/>
      <c r="W281" s="186"/>
      <c r="X281" s="186"/>
      <c r="Y281" s="186"/>
      <c r="Z281" s="186"/>
      <c r="AA281" s="186"/>
      <c r="AB281" s="186"/>
      <c r="AC281" s="186"/>
      <c r="AD281" s="186"/>
      <c r="AF281" s="150"/>
      <c r="AG281" s="150"/>
      <c r="AH281" s="150"/>
      <c r="AI281" s="150"/>
      <c r="AJ281" s="150"/>
      <c r="AK281" s="150"/>
      <c r="AL281" s="150"/>
      <c r="AM281" s="150"/>
      <c r="AN281" s="150"/>
      <c r="AO281" s="150"/>
      <c r="AP281" s="150"/>
      <c r="AQ281" s="150"/>
      <c r="AT281" s="186"/>
      <c r="AU281" s="186"/>
      <c r="AV281" s="186"/>
      <c r="AW281" s="186"/>
      <c r="AX281" s="186"/>
      <c r="AY281" s="186"/>
      <c r="AZ281" s="186"/>
      <c r="BA281" s="186"/>
      <c r="BB281" s="186"/>
      <c r="BC281" s="186"/>
      <c r="BD281" s="186"/>
      <c r="BE281" s="186"/>
      <c r="BF281" s="150"/>
      <c r="BG281" s="150"/>
      <c r="BI281"/>
      <c r="BJ281"/>
      <c r="BK281"/>
      <c r="BL281"/>
    </row>
    <row r="282" spans="3:64" ht="14.6">
      <c r="C282" s="289"/>
      <c r="D282" s="150"/>
      <c r="E282" s="150"/>
      <c r="F282" s="150"/>
      <c r="G282" s="150"/>
      <c r="H282" s="150"/>
      <c r="I282" s="150"/>
      <c r="J282" s="150"/>
      <c r="K282" s="150"/>
      <c r="L282" s="150"/>
      <c r="M282" s="150"/>
      <c r="N282" s="150"/>
      <c r="O282" s="150"/>
      <c r="P282" s="150"/>
      <c r="Q282" s="150"/>
      <c r="R282" s="150"/>
      <c r="S282" s="150"/>
      <c r="T282" s="186"/>
      <c r="U282" s="186"/>
      <c r="V282" s="186"/>
      <c r="W282" s="186"/>
      <c r="X282" s="186"/>
      <c r="Y282" s="186"/>
      <c r="Z282" s="186"/>
      <c r="AA282" s="186"/>
      <c r="AB282" s="186"/>
      <c r="AC282" s="186"/>
      <c r="AD282" s="186"/>
      <c r="AF282" s="150"/>
      <c r="AG282" s="150"/>
      <c r="AH282" s="150"/>
      <c r="AI282" s="150"/>
      <c r="AJ282" s="150"/>
      <c r="AK282" s="150"/>
      <c r="AL282" s="150"/>
      <c r="AM282" s="150"/>
      <c r="AN282" s="150"/>
      <c r="AO282" s="150"/>
      <c r="AP282" s="150"/>
      <c r="AQ282" s="150"/>
      <c r="AT282" s="186"/>
      <c r="AU282" s="186"/>
      <c r="AV282" s="186"/>
      <c r="AW282" s="186"/>
      <c r="AX282" s="186"/>
      <c r="AY282" s="186"/>
      <c r="AZ282" s="186"/>
      <c r="BA282" s="186"/>
      <c r="BB282" s="186"/>
      <c r="BC282" s="186"/>
      <c r="BD282" s="186"/>
      <c r="BE282" s="186"/>
      <c r="BF282" s="150"/>
      <c r="BG282" s="150"/>
      <c r="BI282"/>
      <c r="BJ282"/>
      <c r="BK282"/>
      <c r="BL282"/>
    </row>
    <row r="283" spans="3:64" ht="14.6">
      <c r="C283" s="289"/>
      <c r="D283" s="150"/>
      <c r="E283" s="150"/>
      <c r="F283" s="150"/>
      <c r="G283" s="150"/>
      <c r="H283" s="150"/>
      <c r="I283" s="150"/>
      <c r="J283" s="150"/>
      <c r="K283" s="150"/>
      <c r="L283" s="150"/>
      <c r="M283" s="150"/>
      <c r="N283" s="150"/>
      <c r="O283" s="150"/>
      <c r="P283" s="150"/>
      <c r="Q283" s="150"/>
      <c r="R283" s="150"/>
      <c r="S283" s="150"/>
      <c r="T283" s="186"/>
      <c r="U283" s="186"/>
      <c r="V283" s="186"/>
      <c r="W283" s="186"/>
      <c r="X283" s="186"/>
      <c r="Y283" s="186"/>
      <c r="Z283" s="186"/>
      <c r="AA283" s="186"/>
      <c r="AB283" s="186"/>
      <c r="AC283" s="186"/>
      <c r="AD283" s="186"/>
      <c r="AF283" s="150"/>
      <c r="AG283" s="150"/>
      <c r="AH283" s="150"/>
      <c r="AI283" s="150"/>
      <c r="AJ283" s="150"/>
      <c r="AK283" s="150"/>
      <c r="AL283" s="150"/>
      <c r="AM283" s="150"/>
      <c r="AN283" s="150"/>
      <c r="AO283" s="150"/>
      <c r="AP283" s="150"/>
      <c r="AQ283" s="150"/>
      <c r="AT283" s="186"/>
      <c r="AU283" s="186"/>
      <c r="AV283" s="186"/>
      <c r="AW283" s="186"/>
      <c r="AX283" s="186"/>
      <c r="AY283" s="186"/>
      <c r="AZ283" s="186"/>
      <c r="BA283" s="186"/>
      <c r="BB283" s="186"/>
      <c r="BC283" s="186"/>
      <c r="BD283" s="186"/>
      <c r="BE283" s="186"/>
      <c r="BF283" s="150"/>
      <c r="BG283" s="150"/>
      <c r="BI283"/>
      <c r="BJ283"/>
      <c r="BK283"/>
      <c r="BL283"/>
    </row>
    <row r="284" spans="3:64" ht="14.6">
      <c r="C284" s="289"/>
      <c r="D284" s="150"/>
      <c r="E284" s="150"/>
      <c r="F284" s="150"/>
      <c r="G284" s="150"/>
      <c r="H284" s="150"/>
      <c r="I284" s="150"/>
      <c r="J284" s="150"/>
      <c r="K284" s="150"/>
      <c r="L284" s="150"/>
      <c r="M284" s="150"/>
      <c r="N284" s="150"/>
      <c r="O284" s="150"/>
      <c r="P284" s="150"/>
      <c r="Q284" s="150"/>
      <c r="R284" s="150"/>
      <c r="S284" s="150"/>
      <c r="T284" s="186"/>
      <c r="U284" s="186"/>
      <c r="V284" s="186"/>
      <c r="W284" s="186"/>
      <c r="X284" s="186"/>
      <c r="Y284" s="186"/>
      <c r="Z284" s="186"/>
      <c r="AA284" s="186"/>
      <c r="AB284" s="186"/>
      <c r="AC284" s="186"/>
      <c r="AD284" s="186"/>
      <c r="AF284" s="150"/>
      <c r="AG284" s="150"/>
      <c r="AH284" s="150"/>
      <c r="AI284" s="150"/>
      <c r="AJ284" s="150"/>
      <c r="AK284" s="150"/>
      <c r="AL284" s="150"/>
      <c r="AM284" s="150"/>
      <c r="AN284" s="150"/>
      <c r="AO284" s="150"/>
      <c r="AP284" s="150"/>
      <c r="AQ284" s="150"/>
      <c r="AT284" s="186"/>
      <c r="AU284" s="186"/>
      <c r="AV284" s="186"/>
      <c r="AW284" s="186"/>
      <c r="AX284" s="186"/>
      <c r="AY284" s="186"/>
      <c r="AZ284" s="186"/>
      <c r="BA284" s="186"/>
      <c r="BB284" s="186"/>
      <c r="BC284" s="186"/>
      <c r="BD284" s="186"/>
      <c r="BE284" s="186"/>
      <c r="BF284" s="150"/>
      <c r="BG284" s="150"/>
      <c r="BI284"/>
      <c r="BJ284"/>
      <c r="BK284"/>
      <c r="BL284"/>
    </row>
    <row r="285" spans="3:64" ht="14.6">
      <c r="C285" s="289"/>
      <c r="D285" s="150"/>
      <c r="E285" s="150"/>
      <c r="F285" s="150"/>
      <c r="G285" s="150"/>
      <c r="H285" s="150"/>
      <c r="I285" s="150"/>
      <c r="J285" s="150"/>
      <c r="K285" s="150"/>
      <c r="L285" s="150"/>
      <c r="M285" s="150"/>
      <c r="N285" s="150"/>
      <c r="O285" s="150"/>
      <c r="P285" s="150"/>
      <c r="Q285" s="150"/>
      <c r="R285" s="150"/>
      <c r="S285" s="150"/>
      <c r="T285" s="186"/>
      <c r="U285" s="186"/>
      <c r="V285" s="186"/>
      <c r="W285" s="186"/>
      <c r="X285" s="186"/>
      <c r="Y285" s="186"/>
      <c r="Z285" s="186"/>
      <c r="AA285" s="186"/>
      <c r="AB285" s="186"/>
      <c r="AC285" s="186"/>
      <c r="AD285" s="186"/>
      <c r="AF285" s="150"/>
      <c r="AG285" s="150"/>
      <c r="AH285" s="150"/>
      <c r="AI285" s="150"/>
      <c r="AJ285" s="150"/>
      <c r="AK285" s="150"/>
      <c r="AL285" s="150"/>
      <c r="AM285" s="150"/>
      <c r="AN285" s="150"/>
      <c r="AO285" s="150"/>
      <c r="AP285" s="150"/>
      <c r="AQ285" s="150"/>
      <c r="AT285" s="186"/>
      <c r="AU285" s="186"/>
      <c r="AV285" s="186"/>
      <c r="AW285" s="186"/>
      <c r="AX285" s="186"/>
      <c r="AY285" s="186"/>
      <c r="AZ285" s="186"/>
      <c r="BA285" s="186"/>
      <c r="BB285" s="186"/>
      <c r="BC285" s="186"/>
      <c r="BD285" s="186"/>
      <c r="BE285" s="186"/>
      <c r="BF285" s="150"/>
      <c r="BG285" s="150"/>
      <c r="BI285"/>
      <c r="BJ285"/>
      <c r="BK285"/>
      <c r="BL285"/>
    </row>
    <row r="286" spans="3:64" ht="14.6">
      <c r="C286" s="289"/>
      <c r="D286" s="150"/>
      <c r="E286" s="150"/>
      <c r="F286" s="150"/>
      <c r="G286" s="150"/>
      <c r="H286" s="150"/>
      <c r="I286" s="150"/>
      <c r="J286" s="150"/>
      <c r="K286" s="150"/>
      <c r="L286" s="150"/>
      <c r="M286" s="150"/>
      <c r="N286" s="150"/>
      <c r="O286" s="150"/>
      <c r="P286" s="150"/>
      <c r="Q286" s="150"/>
      <c r="R286" s="150"/>
      <c r="S286" s="150"/>
      <c r="T286" s="186"/>
      <c r="U286" s="186"/>
      <c r="V286" s="186"/>
      <c r="W286" s="186"/>
      <c r="X286" s="186"/>
      <c r="Y286" s="186"/>
      <c r="Z286" s="186"/>
      <c r="AA286" s="186"/>
      <c r="AB286" s="186"/>
      <c r="AC286" s="186"/>
      <c r="AD286" s="186"/>
      <c r="AF286" s="150"/>
      <c r="AG286" s="150"/>
      <c r="AH286" s="150"/>
      <c r="AI286" s="150"/>
      <c r="AJ286" s="150"/>
      <c r="AK286" s="150"/>
      <c r="AL286" s="150"/>
      <c r="AM286" s="150"/>
      <c r="AN286" s="150"/>
      <c r="AO286" s="150"/>
      <c r="AP286" s="150"/>
      <c r="AQ286" s="150"/>
      <c r="AT286" s="186"/>
      <c r="AU286" s="186"/>
      <c r="AV286" s="186"/>
      <c r="AW286" s="186"/>
      <c r="AX286" s="186"/>
      <c r="AY286" s="186"/>
      <c r="AZ286" s="186"/>
      <c r="BA286" s="186"/>
      <c r="BB286" s="186"/>
      <c r="BC286" s="186"/>
      <c r="BD286" s="186"/>
      <c r="BE286" s="186"/>
      <c r="BF286" s="150"/>
      <c r="BG286" s="150"/>
      <c r="BI286"/>
      <c r="BJ286"/>
      <c r="BK286"/>
      <c r="BL286"/>
    </row>
    <row r="287" spans="3:64" ht="14.6">
      <c r="C287" s="289"/>
      <c r="D287" s="150"/>
      <c r="E287" s="150"/>
      <c r="F287" s="150"/>
      <c r="G287" s="150"/>
      <c r="H287" s="150"/>
      <c r="I287" s="150"/>
      <c r="J287" s="150"/>
      <c r="K287" s="150"/>
      <c r="L287" s="150"/>
      <c r="M287" s="150"/>
      <c r="N287" s="150"/>
      <c r="O287" s="150"/>
      <c r="P287" s="150"/>
      <c r="Q287" s="150"/>
      <c r="R287" s="150"/>
      <c r="S287" s="150"/>
      <c r="T287" s="186"/>
      <c r="U287" s="186"/>
      <c r="V287" s="186"/>
      <c r="W287" s="186"/>
      <c r="X287" s="186"/>
      <c r="Y287" s="186"/>
      <c r="Z287" s="186"/>
      <c r="AA287" s="186"/>
      <c r="AB287" s="186"/>
      <c r="AC287" s="186"/>
      <c r="AD287" s="186"/>
      <c r="AF287" s="150"/>
      <c r="AG287" s="150"/>
      <c r="AH287" s="150"/>
      <c r="AI287" s="150"/>
      <c r="AJ287" s="150"/>
      <c r="AK287" s="150"/>
      <c r="AL287" s="150"/>
      <c r="AM287" s="150"/>
      <c r="AN287" s="150"/>
      <c r="AO287" s="150"/>
      <c r="AP287" s="150"/>
      <c r="AQ287" s="150"/>
      <c r="AT287" s="186"/>
      <c r="AU287" s="186"/>
      <c r="AV287" s="186"/>
      <c r="AW287" s="186"/>
      <c r="AX287" s="186"/>
      <c r="AY287" s="186"/>
      <c r="AZ287" s="186"/>
      <c r="BA287" s="186"/>
      <c r="BB287" s="186"/>
      <c r="BC287" s="186"/>
      <c r="BD287" s="186"/>
      <c r="BE287" s="186"/>
      <c r="BF287" s="150"/>
      <c r="BG287" s="150"/>
      <c r="BI287"/>
      <c r="BJ287"/>
      <c r="BK287"/>
      <c r="BL287"/>
    </row>
    <row r="288" spans="3:64" ht="14.6">
      <c r="C288" s="289"/>
      <c r="D288" s="150"/>
      <c r="E288" s="150"/>
      <c r="F288" s="150"/>
      <c r="G288" s="150"/>
      <c r="H288" s="150"/>
      <c r="I288" s="150"/>
      <c r="J288" s="150"/>
      <c r="K288" s="150"/>
      <c r="L288" s="150"/>
      <c r="M288" s="150"/>
      <c r="N288" s="150"/>
      <c r="O288" s="150"/>
      <c r="P288" s="150"/>
      <c r="Q288" s="150"/>
      <c r="R288" s="150"/>
      <c r="S288" s="150"/>
      <c r="T288" s="186"/>
      <c r="U288" s="186"/>
      <c r="V288" s="186"/>
      <c r="W288" s="186"/>
      <c r="X288" s="186"/>
      <c r="Y288" s="186"/>
      <c r="Z288" s="186"/>
      <c r="AA288" s="186"/>
      <c r="AB288" s="186"/>
      <c r="AC288" s="186"/>
      <c r="AD288" s="186"/>
      <c r="AF288" s="150"/>
      <c r="AG288" s="150"/>
      <c r="AH288" s="150"/>
      <c r="AI288" s="150"/>
      <c r="AJ288" s="150"/>
      <c r="AK288" s="150"/>
      <c r="AL288" s="150"/>
      <c r="AM288" s="150"/>
      <c r="AN288" s="150"/>
      <c r="AO288" s="150"/>
      <c r="AP288" s="150"/>
      <c r="AQ288" s="150"/>
      <c r="AT288" s="186"/>
      <c r="AU288" s="186"/>
      <c r="AV288" s="186"/>
      <c r="AW288" s="186"/>
      <c r="AX288" s="186"/>
      <c r="AY288" s="186"/>
      <c r="AZ288" s="186"/>
      <c r="BA288" s="186"/>
      <c r="BB288" s="186"/>
      <c r="BC288" s="186"/>
      <c r="BD288" s="186"/>
      <c r="BE288" s="186"/>
      <c r="BF288" s="150"/>
      <c r="BG288" s="150"/>
      <c r="BI288"/>
      <c r="BJ288"/>
      <c r="BK288"/>
      <c r="BL288"/>
    </row>
    <row r="289" spans="3:64" ht="14.6">
      <c r="C289" s="289"/>
      <c r="D289" s="150"/>
      <c r="E289" s="150"/>
      <c r="F289" s="150"/>
      <c r="G289" s="150"/>
      <c r="H289" s="150"/>
      <c r="I289" s="150"/>
      <c r="J289" s="150"/>
      <c r="K289" s="150"/>
      <c r="L289" s="150"/>
      <c r="M289" s="150"/>
      <c r="N289" s="150"/>
      <c r="O289" s="150"/>
      <c r="P289" s="150"/>
      <c r="Q289" s="150"/>
      <c r="R289" s="150"/>
      <c r="S289" s="150"/>
      <c r="T289" s="186"/>
      <c r="U289" s="186"/>
      <c r="V289" s="186"/>
      <c r="W289" s="186"/>
      <c r="X289" s="186"/>
      <c r="Y289" s="186"/>
      <c r="Z289" s="186"/>
      <c r="AA289" s="186"/>
      <c r="AB289" s="186"/>
      <c r="AC289" s="186"/>
      <c r="AD289" s="186"/>
      <c r="AF289" s="150"/>
      <c r="AG289" s="150"/>
      <c r="AH289" s="150"/>
      <c r="AI289" s="150"/>
      <c r="AJ289" s="150"/>
      <c r="AK289" s="150"/>
      <c r="AL289" s="150"/>
      <c r="AM289" s="150"/>
      <c r="AN289" s="150"/>
      <c r="AO289" s="150"/>
      <c r="AP289" s="150"/>
      <c r="AQ289" s="150"/>
      <c r="AT289" s="186"/>
      <c r="AU289" s="186"/>
      <c r="AV289" s="186"/>
      <c r="AW289" s="186"/>
      <c r="AX289" s="186"/>
      <c r="AY289" s="186"/>
      <c r="AZ289" s="186"/>
      <c r="BA289" s="186"/>
      <c r="BB289" s="186"/>
      <c r="BC289" s="186"/>
      <c r="BD289" s="186"/>
      <c r="BE289" s="186"/>
      <c r="BF289" s="150"/>
      <c r="BG289" s="150"/>
      <c r="BI289"/>
      <c r="BJ289"/>
      <c r="BK289"/>
      <c r="BL289"/>
    </row>
    <row r="290" spans="3:64" ht="14.6">
      <c r="C290" s="289"/>
      <c r="D290" s="150"/>
      <c r="E290" s="150"/>
      <c r="F290" s="150"/>
      <c r="G290" s="150"/>
      <c r="H290" s="150"/>
      <c r="I290" s="150"/>
      <c r="J290" s="150"/>
      <c r="K290" s="150"/>
      <c r="L290" s="150"/>
      <c r="M290" s="150"/>
      <c r="N290" s="150"/>
      <c r="O290" s="150"/>
      <c r="P290" s="150"/>
      <c r="Q290" s="150"/>
      <c r="R290" s="150"/>
      <c r="S290" s="150"/>
      <c r="T290" s="186"/>
      <c r="U290" s="186"/>
      <c r="V290" s="186"/>
      <c r="W290" s="186"/>
      <c r="X290" s="186"/>
      <c r="Y290" s="186"/>
      <c r="Z290" s="186"/>
      <c r="AA290" s="186"/>
      <c r="AB290" s="186"/>
      <c r="AC290" s="186"/>
      <c r="AD290" s="186"/>
      <c r="AF290" s="150"/>
      <c r="AG290" s="150"/>
      <c r="AH290" s="150"/>
      <c r="AI290" s="150"/>
      <c r="AJ290" s="150"/>
      <c r="AK290" s="150"/>
      <c r="AL290" s="150"/>
      <c r="AM290" s="150"/>
      <c r="AN290" s="150"/>
      <c r="AO290" s="150"/>
      <c r="AP290" s="150"/>
      <c r="AQ290" s="150"/>
      <c r="AT290" s="186"/>
      <c r="AU290" s="186"/>
      <c r="AV290" s="186"/>
      <c r="AW290" s="186"/>
      <c r="AX290" s="186"/>
      <c r="AY290" s="186"/>
      <c r="AZ290" s="186"/>
      <c r="BA290" s="186"/>
      <c r="BB290" s="186"/>
      <c r="BC290" s="186"/>
      <c r="BD290" s="186"/>
      <c r="BE290" s="186"/>
      <c r="BF290" s="150"/>
      <c r="BG290" s="150"/>
      <c r="BI290"/>
      <c r="BJ290"/>
      <c r="BK290"/>
      <c r="BL290"/>
    </row>
    <row r="291" spans="3:64" ht="14.6">
      <c r="C291" s="289"/>
      <c r="D291" s="150"/>
      <c r="E291" s="150"/>
      <c r="F291" s="150"/>
      <c r="G291" s="150"/>
      <c r="H291" s="150"/>
      <c r="I291" s="150"/>
      <c r="J291" s="150"/>
      <c r="K291" s="150"/>
      <c r="L291" s="150"/>
      <c r="M291" s="150"/>
      <c r="N291" s="150"/>
      <c r="O291" s="150"/>
      <c r="P291" s="150"/>
      <c r="Q291" s="150"/>
      <c r="R291" s="150"/>
      <c r="S291" s="150"/>
      <c r="T291" s="186"/>
      <c r="U291" s="186"/>
      <c r="V291" s="186"/>
      <c r="W291" s="186"/>
      <c r="X291" s="186"/>
      <c r="Y291" s="186"/>
      <c r="Z291" s="186"/>
      <c r="AA291" s="186"/>
      <c r="AB291" s="186"/>
      <c r="AC291" s="186"/>
      <c r="AD291" s="186"/>
      <c r="AF291" s="150"/>
      <c r="AG291" s="150"/>
      <c r="AH291" s="150"/>
      <c r="AI291" s="150"/>
      <c r="AJ291" s="150"/>
      <c r="AK291" s="150"/>
      <c r="AL291" s="150"/>
      <c r="AM291" s="150"/>
      <c r="AN291" s="150"/>
      <c r="AO291" s="150"/>
      <c r="AP291" s="150"/>
      <c r="AQ291" s="150"/>
      <c r="AT291" s="186"/>
      <c r="AU291" s="186"/>
      <c r="AV291" s="186"/>
      <c r="AW291" s="186"/>
      <c r="AX291" s="186"/>
      <c r="AY291" s="186"/>
      <c r="AZ291" s="186"/>
      <c r="BA291" s="186"/>
      <c r="BB291" s="186"/>
      <c r="BC291" s="186"/>
      <c r="BD291" s="186"/>
      <c r="BE291" s="186"/>
      <c r="BF291" s="150"/>
      <c r="BG291" s="150"/>
      <c r="BI291"/>
      <c r="BJ291"/>
      <c r="BK291"/>
      <c r="BL291"/>
    </row>
    <row r="292" spans="3:64" ht="14.6">
      <c r="C292" s="289"/>
      <c r="D292" s="150"/>
      <c r="E292" s="150"/>
      <c r="F292" s="150"/>
      <c r="G292" s="150"/>
      <c r="H292" s="150"/>
      <c r="I292" s="150"/>
      <c r="J292" s="150"/>
      <c r="K292" s="150"/>
      <c r="L292" s="150"/>
      <c r="M292" s="150"/>
      <c r="N292" s="150"/>
      <c r="O292" s="150"/>
      <c r="P292" s="150"/>
      <c r="Q292" s="150"/>
      <c r="R292" s="150"/>
      <c r="S292" s="150"/>
      <c r="T292" s="186"/>
      <c r="U292" s="186"/>
      <c r="V292" s="186"/>
      <c r="W292" s="186"/>
      <c r="X292" s="186"/>
      <c r="Y292" s="186"/>
      <c r="Z292" s="186"/>
      <c r="AA292" s="186"/>
      <c r="AB292" s="186"/>
      <c r="AC292" s="186"/>
      <c r="AD292" s="186"/>
      <c r="AF292" s="150"/>
      <c r="AG292" s="150"/>
      <c r="AH292" s="150"/>
      <c r="AI292" s="150"/>
      <c r="AJ292" s="150"/>
      <c r="AK292" s="150"/>
      <c r="AL292" s="150"/>
      <c r="AM292" s="150"/>
      <c r="AN292" s="150"/>
      <c r="AO292" s="150"/>
      <c r="AP292" s="150"/>
      <c r="AQ292" s="150"/>
      <c r="AT292" s="186"/>
      <c r="AU292" s="186"/>
      <c r="AV292" s="186"/>
      <c r="AW292" s="186"/>
      <c r="AX292" s="186"/>
      <c r="AY292" s="186"/>
      <c r="AZ292" s="186"/>
      <c r="BA292" s="186"/>
      <c r="BB292" s="186"/>
      <c r="BC292" s="186"/>
      <c r="BD292" s="186"/>
      <c r="BE292" s="186"/>
      <c r="BF292" s="150"/>
      <c r="BG292" s="150"/>
      <c r="BI292"/>
      <c r="BJ292"/>
      <c r="BK292"/>
      <c r="BL292"/>
    </row>
    <row r="293" spans="3:64" ht="14.6">
      <c r="C293" s="289"/>
      <c r="D293" s="150"/>
      <c r="E293" s="150"/>
      <c r="F293" s="150"/>
      <c r="G293" s="150"/>
      <c r="H293" s="150"/>
      <c r="I293" s="150"/>
      <c r="J293" s="150"/>
      <c r="K293" s="150"/>
      <c r="L293" s="150"/>
      <c r="M293" s="150"/>
      <c r="N293" s="150"/>
      <c r="O293" s="150"/>
      <c r="P293" s="150"/>
      <c r="Q293" s="150"/>
      <c r="R293" s="150"/>
      <c r="S293" s="150"/>
      <c r="T293" s="186"/>
      <c r="U293" s="186"/>
      <c r="V293" s="186"/>
      <c r="W293" s="186"/>
      <c r="X293" s="186"/>
      <c r="Y293" s="186"/>
      <c r="Z293" s="186"/>
      <c r="AA293" s="186"/>
      <c r="AB293" s="186"/>
      <c r="AC293" s="186"/>
      <c r="AD293" s="186"/>
      <c r="AF293" s="150"/>
      <c r="AG293" s="150"/>
      <c r="AH293" s="150"/>
      <c r="AI293" s="150"/>
      <c r="AJ293" s="150"/>
      <c r="AK293" s="150"/>
      <c r="AL293" s="150"/>
      <c r="AM293" s="150"/>
      <c r="AN293" s="150"/>
      <c r="AO293" s="150"/>
      <c r="AP293" s="150"/>
      <c r="AQ293" s="150"/>
      <c r="AT293" s="186"/>
      <c r="AU293" s="186"/>
      <c r="AV293" s="186"/>
      <c r="AW293" s="186"/>
      <c r="AX293" s="186"/>
      <c r="AY293" s="186"/>
      <c r="AZ293" s="186"/>
      <c r="BA293" s="186"/>
      <c r="BB293" s="186"/>
      <c r="BC293" s="186"/>
      <c r="BD293" s="186"/>
      <c r="BE293" s="186"/>
      <c r="BF293" s="150"/>
      <c r="BG293" s="150"/>
      <c r="BI293"/>
      <c r="BJ293"/>
      <c r="BK293"/>
      <c r="BL293"/>
    </row>
    <row r="294" spans="3:64" ht="14.6">
      <c r="C294" s="289"/>
      <c r="D294" s="150"/>
      <c r="E294" s="150"/>
      <c r="F294" s="150"/>
      <c r="G294" s="150"/>
      <c r="H294" s="150"/>
      <c r="I294" s="150"/>
      <c r="J294" s="150"/>
      <c r="K294" s="150"/>
      <c r="L294" s="150"/>
      <c r="M294" s="150"/>
      <c r="N294" s="150"/>
      <c r="O294" s="150"/>
      <c r="P294" s="150"/>
      <c r="Q294" s="150"/>
      <c r="R294" s="150"/>
      <c r="S294" s="150"/>
      <c r="T294" s="186"/>
      <c r="U294" s="186"/>
      <c r="V294" s="186"/>
      <c r="W294" s="186"/>
      <c r="X294" s="186"/>
      <c r="Y294" s="186"/>
      <c r="Z294" s="186"/>
      <c r="AA294" s="186"/>
      <c r="AB294" s="186"/>
      <c r="AC294" s="186"/>
      <c r="AD294" s="186"/>
      <c r="AF294" s="150"/>
      <c r="AG294" s="150"/>
      <c r="AH294" s="150"/>
      <c r="AI294" s="150"/>
      <c r="AJ294" s="150"/>
      <c r="AK294" s="150"/>
      <c r="AL294" s="150"/>
      <c r="AM294" s="150"/>
      <c r="AN294" s="150"/>
      <c r="AO294" s="150"/>
      <c r="AP294" s="150"/>
      <c r="AQ294" s="150"/>
      <c r="AT294" s="186"/>
      <c r="AU294" s="186"/>
      <c r="AV294" s="186"/>
      <c r="AW294" s="186"/>
      <c r="AX294" s="186"/>
      <c r="AY294" s="186"/>
      <c r="AZ294" s="186"/>
      <c r="BA294" s="186"/>
      <c r="BB294" s="186"/>
      <c r="BC294" s="186"/>
      <c r="BD294" s="186"/>
      <c r="BE294" s="186"/>
      <c r="BF294" s="150"/>
      <c r="BG294" s="150"/>
      <c r="BI294"/>
      <c r="BJ294"/>
      <c r="BK294"/>
      <c r="BL294"/>
    </row>
    <row r="295" spans="3:64" ht="14.6">
      <c r="C295" s="289"/>
      <c r="D295" s="150"/>
      <c r="E295" s="150"/>
      <c r="F295" s="150"/>
      <c r="G295" s="150"/>
      <c r="H295" s="150"/>
      <c r="I295" s="150"/>
      <c r="J295" s="150"/>
      <c r="K295" s="150"/>
      <c r="L295" s="150"/>
      <c r="M295" s="150"/>
      <c r="N295" s="150"/>
      <c r="O295" s="150"/>
      <c r="P295" s="150"/>
      <c r="Q295" s="150"/>
      <c r="R295" s="150"/>
      <c r="S295" s="150"/>
      <c r="T295" s="186"/>
      <c r="U295" s="186"/>
      <c r="V295" s="186"/>
      <c r="W295" s="186"/>
      <c r="X295" s="186"/>
      <c r="Y295" s="186"/>
      <c r="Z295" s="186"/>
      <c r="AA295" s="186"/>
      <c r="AB295" s="186"/>
      <c r="AC295" s="186"/>
      <c r="AD295" s="186"/>
      <c r="AF295" s="150"/>
      <c r="AG295" s="150"/>
      <c r="AH295" s="150"/>
      <c r="AI295" s="150"/>
      <c r="AJ295" s="150"/>
      <c r="AK295" s="150"/>
      <c r="AL295" s="150"/>
      <c r="AM295" s="150"/>
      <c r="AN295" s="150"/>
      <c r="AO295" s="150"/>
      <c r="AP295" s="150"/>
      <c r="AQ295" s="150"/>
      <c r="AT295" s="186"/>
      <c r="AU295" s="186"/>
      <c r="AV295" s="186"/>
      <c r="AW295" s="186"/>
      <c r="AX295" s="186"/>
      <c r="AY295" s="186"/>
      <c r="AZ295" s="186"/>
      <c r="BA295" s="186"/>
      <c r="BB295" s="186"/>
      <c r="BC295" s="186"/>
      <c r="BD295" s="186"/>
      <c r="BE295" s="186"/>
      <c r="BF295" s="150"/>
      <c r="BG295" s="150"/>
      <c r="BI295"/>
      <c r="BJ295"/>
      <c r="BK295"/>
      <c r="BL295"/>
    </row>
    <row r="296" spans="3:64" ht="14.6">
      <c r="C296" s="289"/>
      <c r="D296" s="150"/>
      <c r="E296" s="150"/>
      <c r="F296" s="150"/>
      <c r="G296" s="150"/>
      <c r="H296" s="150"/>
      <c r="I296" s="150"/>
      <c r="J296" s="150"/>
      <c r="K296" s="150"/>
      <c r="L296" s="150"/>
      <c r="M296" s="150"/>
      <c r="N296" s="150"/>
      <c r="O296" s="150"/>
      <c r="P296" s="150"/>
      <c r="Q296" s="150"/>
      <c r="R296" s="150"/>
      <c r="S296" s="150"/>
      <c r="T296" s="186"/>
      <c r="U296" s="186"/>
      <c r="V296" s="186"/>
      <c r="W296" s="186"/>
      <c r="X296" s="186"/>
      <c r="Y296" s="186"/>
      <c r="Z296" s="186"/>
      <c r="AA296" s="186"/>
      <c r="AB296" s="186"/>
      <c r="AC296" s="186"/>
      <c r="AD296" s="186"/>
      <c r="AF296" s="150"/>
      <c r="AG296" s="150"/>
      <c r="AH296" s="150"/>
      <c r="AI296" s="150"/>
      <c r="AJ296" s="150"/>
      <c r="AK296" s="150"/>
      <c r="AL296" s="150"/>
      <c r="AM296" s="150"/>
      <c r="AN296" s="150"/>
      <c r="AO296" s="150"/>
      <c r="AP296" s="150"/>
      <c r="AQ296" s="150"/>
      <c r="AT296" s="186"/>
      <c r="AU296" s="186"/>
      <c r="AV296" s="186"/>
      <c r="AW296" s="186"/>
      <c r="AX296" s="186"/>
      <c r="AY296" s="186"/>
      <c r="AZ296" s="186"/>
      <c r="BA296" s="186"/>
      <c r="BB296" s="186"/>
      <c r="BC296" s="186"/>
      <c r="BD296" s="186"/>
      <c r="BE296" s="186"/>
      <c r="BF296" s="150"/>
      <c r="BG296" s="150"/>
      <c r="BI296"/>
      <c r="BJ296"/>
      <c r="BK296"/>
      <c r="BL296"/>
    </row>
    <row r="297" spans="3:64" ht="14.6">
      <c r="C297" s="289"/>
      <c r="D297" s="150"/>
      <c r="E297" s="150"/>
      <c r="F297" s="150"/>
      <c r="G297" s="150"/>
      <c r="H297" s="150"/>
      <c r="I297" s="150"/>
      <c r="J297" s="150"/>
      <c r="K297" s="150"/>
      <c r="L297" s="150"/>
      <c r="M297" s="150"/>
      <c r="N297" s="150"/>
      <c r="O297" s="150"/>
      <c r="P297" s="150"/>
      <c r="Q297" s="150"/>
      <c r="R297" s="150"/>
      <c r="S297" s="150"/>
      <c r="T297" s="186"/>
      <c r="U297" s="186"/>
      <c r="V297" s="186"/>
      <c r="W297" s="186"/>
      <c r="X297" s="186"/>
      <c r="Y297" s="186"/>
      <c r="Z297" s="186"/>
      <c r="AA297" s="186"/>
      <c r="AB297" s="186"/>
      <c r="AC297" s="186"/>
      <c r="AD297" s="186"/>
      <c r="AF297" s="150"/>
      <c r="AG297" s="150"/>
      <c r="AH297" s="150"/>
      <c r="AI297" s="150"/>
      <c r="AJ297" s="150"/>
      <c r="AK297" s="150"/>
      <c r="AL297" s="150"/>
      <c r="AM297" s="150"/>
      <c r="AN297" s="150"/>
      <c r="AO297" s="150"/>
      <c r="AP297" s="150"/>
      <c r="AQ297" s="150"/>
      <c r="AT297" s="186"/>
      <c r="AU297" s="186"/>
      <c r="AV297" s="186"/>
      <c r="AW297" s="186"/>
      <c r="AX297" s="186"/>
      <c r="AY297" s="186"/>
      <c r="AZ297" s="186"/>
      <c r="BA297" s="186"/>
      <c r="BB297" s="186"/>
      <c r="BC297" s="186"/>
      <c r="BD297" s="186"/>
      <c r="BE297" s="186"/>
      <c r="BF297" s="150"/>
      <c r="BG297" s="150"/>
      <c r="BI297"/>
      <c r="BJ297"/>
      <c r="BK297"/>
      <c r="BL297"/>
    </row>
    <row r="298" spans="3:64" ht="14.6">
      <c r="C298" s="289"/>
      <c r="D298" s="150"/>
      <c r="E298" s="150"/>
      <c r="F298" s="150"/>
      <c r="G298" s="150"/>
      <c r="H298" s="150"/>
      <c r="I298" s="150"/>
      <c r="J298" s="150"/>
      <c r="K298" s="150"/>
      <c r="L298" s="150"/>
      <c r="M298" s="150"/>
      <c r="N298" s="150"/>
      <c r="O298" s="150"/>
      <c r="P298" s="150"/>
      <c r="Q298" s="150"/>
      <c r="R298" s="150"/>
      <c r="S298" s="150"/>
      <c r="T298" s="186"/>
      <c r="U298" s="186"/>
      <c r="V298" s="186"/>
      <c r="W298" s="186"/>
      <c r="X298" s="186"/>
      <c r="Y298" s="186"/>
      <c r="Z298" s="186"/>
      <c r="AA298" s="186"/>
      <c r="AB298" s="186"/>
      <c r="AC298" s="186"/>
      <c r="AD298" s="186"/>
      <c r="AF298" s="150"/>
      <c r="AG298" s="150"/>
      <c r="AH298" s="150"/>
      <c r="AI298" s="150"/>
      <c r="AJ298" s="150"/>
      <c r="AK298" s="150"/>
      <c r="AL298" s="150"/>
      <c r="AM298" s="150"/>
      <c r="AN298" s="150"/>
      <c r="AO298" s="150"/>
      <c r="AP298" s="150"/>
      <c r="AQ298" s="150"/>
      <c r="AT298" s="186"/>
      <c r="AU298" s="186"/>
      <c r="AV298" s="186"/>
      <c r="AW298" s="186"/>
      <c r="AX298" s="186"/>
      <c r="AY298" s="186"/>
      <c r="AZ298" s="186"/>
      <c r="BA298" s="186"/>
      <c r="BB298" s="186"/>
      <c r="BC298" s="186"/>
      <c r="BD298" s="186"/>
      <c r="BE298" s="186"/>
      <c r="BF298" s="150"/>
      <c r="BG298" s="150"/>
      <c r="BI298"/>
      <c r="BJ298"/>
      <c r="BK298"/>
      <c r="BL298"/>
    </row>
    <row r="299" spans="3:64" ht="14.6">
      <c r="C299" s="289"/>
      <c r="D299" s="150"/>
      <c r="E299" s="150"/>
      <c r="F299" s="150"/>
      <c r="G299" s="150"/>
      <c r="H299" s="150"/>
      <c r="I299" s="150"/>
      <c r="J299" s="150"/>
      <c r="K299" s="150"/>
      <c r="L299" s="150"/>
      <c r="M299" s="150"/>
      <c r="N299" s="150"/>
      <c r="O299" s="150"/>
      <c r="P299" s="150"/>
      <c r="Q299" s="150"/>
      <c r="R299" s="150"/>
      <c r="S299" s="150"/>
      <c r="T299" s="186"/>
      <c r="U299" s="186"/>
      <c r="V299" s="186"/>
      <c r="W299" s="186"/>
      <c r="X299" s="186"/>
      <c r="Y299" s="186"/>
      <c r="Z299" s="186"/>
      <c r="AA299" s="186"/>
      <c r="AB299" s="186"/>
      <c r="AC299" s="186"/>
      <c r="AD299" s="186"/>
      <c r="AF299" s="150"/>
      <c r="AG299" s="150"/>
      <c r="AH299" s="150"/>
      <c r="AI299" s="150"/>
      <c r="AJ299" s="150"/>
      <c r="AK299" s="150"/>
      <c r="AL299" s="150"/>
      <c r="AM299" s="150"/>
      <c r="AN299" s="150"/>
      <c r="AO299" s="150"/>
      <c r="AP299" s="150"/>
      <c r="AQ299" s="150"/>
      <c r="AT299" s="186"/>
      <c r="AU299" s="186"/>
      <c r="AV299" s="186"/>
      <c r="AW299" s="186"/>
      <c r="AX299" s="186"/>
      <c r="AY299" s="186"/>
      <c r="AZ299" s="186"/>
      <c r="BA299" s="186"/>
      <c r="BB299" s="186"/>
      <c r="BC299" s="186"/>
      <c r="BD299" s="186"/>
      <c r="BE299" s="186"/>
      <c r="BF299" s="150"/>
      <c r="BG299" s="150"/>
      <c r="BI299"/>
      <c r="BJ299"/>
      <c r="BK299"/>
      <c r="BL299"/>
    </row>
    <row r="300" spans="3:64" ht="14.6">
      <c r="C300" s="289"/>
      <c r="D300" s="150"/>
      <c r="E300" s="150"/>
      <c r="F300" s="150"/>
      <c r="G300" s="150"/>
      <c r="H300" s="150"/>
      <c r="I300" s="150"/>
      <c r="J300" s="150"/>
      <c r="K300" s="150"/>
      <c r="L300" s="150"/>
      <c r="M300" s="150"/>
      <c r="N300" s="150"/>
      <c r="O300" s="150"/>
      <c r="P300" s="150"/>
      <c r="Q300" s="150"/>
      <c r="R300" s="150"/>
      <c r="S300" s="150"/>
      <c r="T300" s="186"/>
      <c r="U300" s="186"/>
      <c r="V300" s="186"/>
      <c r="W300" s="186"/>
      <c r="X300" s="186"/>
      <c r="Y300" s="186"/>
      <c r="Z300" s="186"/>
      <c r="AA300" s="186"/>
      <c r="AB300" s="186"/>
      <c r="AC300" s="186"/>
      <c r="AD300" s="186"/>
      <c r="AF300" s="150"/>
      <c r="AG300" s="150"/>
      <c r="AH300" s="150"/>
      <c r="AI300" s="150"/>
      <c r="AJ300" s="150"/>
      <c r="AK300" s="150"/>
      <c r="AL300" s="150"/>
      <c r="AM300" s="150"/>
      <c r="AN300" s="150"/>
      <c r="AO300" s="150"/>
      <c r="AP300" s="150"/>
      <c r="AQ300" s="150"/>
      <c r="AT300" s="186"/>
      <c r="AU300" s="186"/>
      <c r="AV300" s="186"/>
      <c r="AW300" s="186"/>
      <c r="AX300" s="186"/>
      <c r="AY300" s="186"/>
      <c r="AZ300" s="186"/>
      <c r="BA300" s="186"/>
      <c r="BB300" s="186"/>
      <c r="BC300" s="186"/>
      <c r="BD300" s="186"/>
      <c r="BE300" s="186"/>
      <c r="BF300" s="150"/>
      <c r="BG300" s="150"/>
      <c r="BI300"/>
      <c r="BJ300"/>
      <c r="BK300"/>
      <c r="BL300"/>
    </row>
    <row r="301" spans="3:64" ht="14.6">
      <c r="C301" s="289"/>
      <c r="D301" s="150"/>
      <c r="E301" s="150"/>
      <c r="F301" s="150"/>
      <c r="G301" s="150"/>
      <c r="H301" s="150"/>
      <c r="I301" s="150"/>
      <c r="J301" s="150"/>
      <c r="K301" s="150"/>
      <c r="L301" s="150"/>
      <c r="M301" s="150"/>
      <c r="N301" s="150"/>
      <c r="O301" s="150"/>
      <c r="P301" s="150"/>
      <c r="Q301" s="150"/>
      <c r="R301" s="150"/>
      <c r="S301" s="150"/>
      <c r="T301" s="186"/>
      <c r="U301" s="186"/>
      <c r="V301" s="186"/>
      <c r="W301" s="186"/>
      <c r="X301" s="186"/>
      <c r="Y301" s="186"/>
      <c r="Z301" s="186"/>
      <c r="AA301" s="186"/>
      <c r="AB301" s="186"/>
      <c r="AC301" s="186"/>
      <c r="AD301" s="186"/>
      <c r="AF301" s="150"/>
      <c r="AG301" s="150"/>
      <c r="AH301" s="150"/>
      <c r="AI301" s="150"/>
      <c r="AJ301" s="150"/>
      <c r="AK301" s="150"/>
      <c r="AL301" s="150"/>
      <c r="AM301" s="150"/>
      <c r="AN301" s="150"/>
      <c r="AO301" s="150"/>
      <c r="AP301" s="150"/>
      <c r="AQ301" s="150"/>
      <c r="AT301" s="186"/>
      <c r="AU301" s="186"/>
      <c r="AV301" s="186"/>
      <c r="AW301" s="186"/>
      <c r="AX301" s="186"/>
      <c r="AY301" s="186"/>
      <c r="AZ301" s="186"/>
      <c r="BA301" s="186"/>
      <c r="BB301" s="186"/>
      <c r="BC301" s="186"/>
      <c r="BD301" s="186"/>
      <c r="BE301" s="186"/>
      <c r="BF301" s="150"/>
      <c r="BG301" s="150"/>
      <c r="BI301"/>
      <c r="BJ301"/>
      <c r="BK301"/>
      <c r="BL301"/>
    </row>
    <row r="302" spans="3:64" ht="14.6">
      <c r="C302" s="289"/>
      <c r="D302" s="150"/>
      <c r="E302" s="150"/>
      <c r="F302" s="150"/>
      <c r="G302" s="150"/>
      <c r="H302" s="150"/>
      <c r="I302" s="150"/>
      <c r="J302" s="150"/>
      <c r="K302" s="150"/>
      <c r="L302" s="150"/>
      <c r="M302" s="150"/>
      <c r="N302" s="150"/>
      <c r="O302" s="150"/>
      <c r="P302" s="150"/>
      <c r="Q302" s="150"/>
      <c r="R302" s="150"/>
      <c r="S302" s="150"/>
      <c r="T302" s="186"/>
      <c r="U302" s="186"/>
      <c r="V302" s="186"/>
      <c r="W302" s="186"/>
      <c r="X302" s="186"/>
      <c r="Y302" s="186"/>
      <c r="Z302" s="186"/>
      <c r="AA302" s="186"/>
      <c r="AB302" s="186"/>
      <c r="AC302" s="186"/>
      <c r="AD302" s="186"/>
      <c r="AF302" s="150"/>
      <c r="AG302" s="150"/>
      <c r="AH302" s="150"/>
      <c r="AI302" s="150"/>
      <c r="AJ302" s="150"/>
      <c r="AK302" s="150"/>
      <c r="AL302" s="150"/>
      <c r="AM302" s="150"/>
      <c r="AN302" s="150"/>
      <c r="AO302" s="150"/>
      <c r="AP302" s="150"/>
      <c r="AQ302" s="150"/>
      <c r="AT302" s="186"/>
      <c r="AU302" s="186"/>
      <c r="AV302" s="186"/>
      <c r="AW302" s="186"/>
      <c r="AX302" s="186"/>
      <c r="AY302" s="186"/>
      <c r="AZ302" s="186"/>
      <c r="BA302" s="186"/>
      <c r="BB302" s="186"/>
      <c r="BC302" s="186"/>
      <c r="BD302" s="186"/>
      <c r="BE302" s="186"/>
      <c r="BF302" s="150"/>
      <c r="BG302" s="150"/>
      <c r="BI302"/>
      <c r="BJ302"/>
      <c r="BK302"/>
      <c r="BL302"/>
    </row>
    <row r="303" spans="3:64" ht="14.6">
      <c r="C303" s="289"/>
      <c r="D303" s="150"/>
      <c r="E303" s="150"/>
      <c r="F303" s="150"/>
      <c r="G303" s="150"/>
      <c r="H303" s="150"/>
      <c r="I303" s="150"/>
      <c r="J303" s="150"/>
      <c r="K303" s="150"/>
      <c r="L303" s="150"/>
      <c r="M303" s="150"/>
      <c r="N303" s="150"/>
      <c r="O303" s="150"/>
      <c r="P303" s="150"/>
      <c r="Q303" s="150"/>
      <c r="R303" s="150"/>
      <c r="S303" s="150"/>
      <c r="T303" s="186"/>
      <c r="U303" s="186"/>
      <c r="V303" s="186"/>
      <c r="W303" s="186"/>
      <c r="X303" s="186"/>
      <c r="Y303" s="186"/>
      <c r="Z303" s="186"/>
      <c r="AA303" s="186"/>
      <c r="AB303" s="186"/>
      <c r="AC303" s="186"/>
      <c r="AD303" s="186"/>
      <c r="AF303" s="150"/>
      <c r="AG303" s="150"/>
      <c r="AH303" s="150"/>
      <c r="AI303" s="150"/>
      <c r="AJ303" s="150"/>
      <c r="AK303" s="150"/>
      <c r="AL303" s="150"/>
      <c r="AM303" s="150"/>
      <c r="AN303" s="150"/>
      <c r="AO303" s="150"/>
      <c r="AP303" s="150"/>
      <c r="AQ303" s="150"/>
      <c r="AT303" s="186"/>
      <c r="AU303" s="186"/>
      <c r="AV303" s="186"/>
      <c r="AW303" s="186"/>
      <c r="AX303" s="186"/>
      <c r="AY303" s="186"/>
      <c r="AZ303" s="186"/>
      <c r="BA303" s="186"/>
      <c r="BB303" s="186"/>
      <c r="BC303" s="186"/>
      <c r="BD303" s="186"/>
      <c r="BE303" s="186"/>
      <c r="BF303" s="150"/>
      <c r="BG303" s="150"/>
      <c r="BI303"/>
      <c r="BJ303"/>
      <c r="BK303"/>
      <c r="BL303"/>
    </row>
    <row r="304" spans="3:64" ht="14.6">
      <c r="C304" s="289"/>
      <c r="D304" s="150"/>
      <c r="E304" s="150"/>
      <c r="F304" s="150"/>
      <c r="G304" s="150"/>
      <c r="H304" s="150"/>
      <c r="I304" s="150"/>
      <c r="J304" s="150"/>
      <c r="K304" s="150"/>
      <c r="L304" s="150"/>
      <c r="M304" s="150"/>
      <c r="N304" s="150"/>
      <c r="O304" s="150"/>
      <c r="P304" s="150"/>
      <c r="Q304" s="150"/>
      <c r="R304" s="150"/>
      <c r="S304" s="150"/>
      <c r="T304" s="186"/>
      <c r="U304" s="186"/>
      <c r="V304" s="186"/>
      <c r="W304" s="186"/>
      <c r="X304" s="186"/>
      <c r="Y304" s="186"/>
      <c r="Z304" s="186"/>
      <c r="AA304" s="186"/>
      <c r="AB304" s="186"/>
      <c r="AC304" s="186"/>
      <c r="AD304" s="186"/>
      <c r="AF304" s="150"/>
      <c r="AG304" s="150"/>
      <c r="AH304" s="150"/>
      <c r="AI304" s="150"/>
      <c r="AJ304" s="150"/>
      <c r="AK304" s="150"/>
      <c r="AL304" s="150"/>
      <c r="AM304" s="150"/>
      <c r="AN304" s="150"/>
      <c r="AO304" s="150"/>
      <c r="AP304" s="150"/>
      <c r="AQ304" s="150"/>
      <c r="AT304" s="186"/>
      <c r="AU304" s="186"/>
      <c r="AV304" s="186"/>
      <c r="AW304" s="186"/>
      <c r="AX304" s="186"/>
      <c r="AY304" s="186"/>
      <c r="AZ304" s="186"/>
      <c r="BA304" s="186"/>
      <c r="BB304" s="186"/>
      <c r="BC304" s="186"/>
      <c r="BD304" s="186"/>
      <c r="BE304" s="186"/>
      <c r="BF304" s="150"/>
      <c r="BG304" s="150"/>
      <c r="BI304"/>
      <c r="BJ304"/>
      <c r="BK304"/>
      <c r="BL304"/>
    </row>
    <row r="305" spans="3:64" ht="14.6">
      <c r="C305" s="289"/>
      <c r="D305" s="150"/>
      <c r="E305" s="150"/>
      <c r="F305" s="150"/>
      <c r="G305" s="150"/>
      <c r="H305" s="150"/>
      <c r="I305" s="150"/>
      <c r="J305" s="150"/>
      <c r="K305" s="150"/>
      <c r="L305" s="150"/>
      <c r="M305" s="150"/>
      <c r="N305" s="150"/>
      <c r="O305" s="150"/>
      <c r="P305" s="150"/>
      <c r="Q305" s="150"/>
      <c r="R305" s="150"/>
      <c r="S305" s="150"/>
      <c r="T305" s="186"/>
      <c r="U305" s="186"/>
      <c r="V305" s="186"/>
      <c r="W305" s="186"/>
      <c r="X305" s="186"/>
      <c r="Y305" s="186"/>
      <c r="Z305" s="186"/>
      <c r="AA305" s="186"/>
      <c r="AB305" s="186"/>
      <c r="AC305" s="186"/>
      <c r="AD305" s="186"/>
      <c r="AF305" s="150"/>
      <c r="AG305" s="150"/>
      <c r="AH305" s="150"/>
      <c r="AI305" s="150"/>
      <c r="AJ305" s="150"/>
      <c r="AK305" s="150"/>
      <c r="AL305" s="150"/>
      <c r="AM305" s="150"/>
      <c r="AN305" s="150"/>
      <c r="AO305" s="150"/>
      <c r="AP305" s="150"/>
      <c r="AQ305" s="150"/>
      <c r="AT305" s="186"/>
      <c r="AU305" s="186"/>
      <c r="AV305" s="186"/>
      <c r="AW305" s="186"/>
      <c r="AX305" s="186"/>
      <c r="AY305" s="186"/>
      <c r="AZ305" s="186"/>
      <c r="BA305" s="186"/>
      <c r="BB305" s="186"/>
      <c r="BC305" s="186"/>
      <c r="BD305" s="186"/>
      <c r="BE305" s="186"/>
      <c r="BF305" s="150"/>
      <c r="BG305" s="150"/>
      <c r="BI305"/>
      <c r="BJ305"/>
      <c r="BK305"/>
      <c r="BL305"/>
    </row>
    <row r="306" spans="3:64" ht="14.6">
      <c r="C306" s="289"/>
      <c r="D306" s="150"/>
      <c r="E306" s="150"/>
      <c r="F306" s="150"/>
      <c r="G306" s="150"/>
      <c r="H306" s="150"/>
      <c r="I306" s="150"/>
      <c r="J306" s="150"/>
      <c r="K306" s="150"/>
      <c r="L306" s="150"/>
      <c r="M306" s="150"/>
      <c r="N306" s="150"/>
      <c r="O306" s="150"/>
      <c r="P306" s="150"/>
      <c r="Q306" s="150"/>
      <c r="R306" s="150"/>
      <c r="S306" s="150"/>
      <c r="T306" s="186"/>
      <c r="U306" s="186"/>
      <c r="V306" s="186"/>
      <c r="W306" s="186"/>
      <c r="X306" s="186"/>
      <c r="Y306" s="186"/>
      <c r="Z306" s="186"/>
      <c r="AA306" s="186"/>
      <c r="AB306" s="186"/>
      <c r="AC306" s="186"/>
      <c r="AD306" s="186"/>
      <c r="AF306" s="150"/>
      <c r="AG306" s="150"/>
      <c r="AH306" s="150"/>
      <c r="AI306" s="150"/>
      <c r="AJ306" s="150"/>
      <c r="AK306" s="150"/>
      <c r="AL306" s="150"/>
      <c r="AM306" s="150"/>
      <c r="AN306" s="150"/>
      <c r="AO306" s="150"/>
      <c r="AP306" s="150"/>
      <c r="AQ306" s="150"/>
      <c r="AT306" s="186"/>
      <c r="AU306" s="186"/>
      <c r="AV306" s="186"/>
      <c r="AW306" s="186"/>
      <c r="AX306" s="186"/>
      <c r="AY306" s="186"/>
      <c r="AZ306" s="186"/>
      <c r="BA306" s="186"/>
      <c r="BB306" s="186"/>
      <c r="BC306" s="186"/>
      <c r="BD306" s="186"/>
      <c r="BE306" s="186"/>
      <c r="BF306" s="150"/>
      <c r="BG306" s="150"/>
      <c r="BI306"/>
      <c r="BJ306"/>
      <c r="BK306"/>
      <c r="BL306"/>
    </row>
    <row r="307" spans="3:64" ht="14.6">
      <c r="C307" s="289"/>
      <c r="D307" s="150"/>
      <c r="E307" s="150"/>
      <c r="F307" s="150"/>
      <c r="G307" s="150"/>
      <c r="H307" s="150"/>
      <c r="I307" s="150"/>
      <c r="J307" s="150"/>
      <c r="K307" s="150"/>
      <c r="L307" s="150"/>
      <c r="M307" s="150"/>
      <c r="N307" s="150"/>
      <c r="O307" s="150"/>
      <c r="P307" s="150"/>
      <c r="Q307" s="150"/>
      <c r="R307" s="150"/>
      <c r="S307" s="150"/>
      <c r="T307" s="186"/>
      <c r="U307" s="186"/>
      <c r="V307" s="186"/>
      <c r="W307" s="186"/>
      <c r="X307" s="186"/>
      <c r="Y307" s="186"/>
      <c r="Z307" s="186"/>
      <c r="AA307" s="186"/>
      <c r="AB307" s="186"/>
      <c r="AC307" s="186"/>
      <c r="AD307" s="186"/>
      <c r="AF307" s="150"/>
      <c r="AG307" s="150"/>
      <c r="AH307" s="150"/>
      <c r="AI307" s="150"/>
      <c r="AJ307" s="150"/>
      <c r="AK307" s="150"/>
      <c r="AL307" s="150"/>
      <c r="AM307" s="150"/>
      <c r="AN307" s="150"/>
      <c r="AO307" s="150"/>
      <c r="AP307" s="150"/>
      <c r="AQ307" s="150"/>
      <c r="AT307" s="186"/>
      <c r="AU307" s="186"/>
      <c r="AV307" s="186"/>
      <c r="AW307" s="186"/>
      <c r="AX307" s="186"/>
      <c r="AY307" s="186"/>
      <c r="AZ307" s="186"/>
      <c r="BA307" s="186"/>
      <c r="BB307" s="186"/>
      <c r="BC307" s="186"/>
      <c r="BD307" s="186"/>
      <c r="BE307" s="186"/>
      <c r="BF307" s="150"/>
      <c r="BG307" s="150"/>
      <c r="BI307"/>
      <c r="BJ307"/>
      <c r="BK307"/>
      <c r="BL307"/>
    </row>
    <row r="308" spans="3:64" ht="14.6">
      <c r="C308" s="289"/>
      <c r="D308" s="150"/>
      <c r="E308" s="150"/>
      <c r="F308" s="150"/>
      <c r="G308" s="150"/>
      <c r="H308" s="150"/>
      <c r="I308" s="150"/>
      <c r="J308" s="150"/>
      <c r="K308" s="150"/>
      <c r="L308" s="150"/>
      <c r="M308" s="150"/>
      <c r="N308" s="150"/>
      <c r="O308" s="150"/>
      <c r="P308" s="150"/>
      <c r="Q308" s="150"/>
      <c r="R308" s="150"/>
      <c r="S308" s="150"/>
      <c r="T308" s="186"/>
      <c r="U308" s="186"/>
      <c r="V308" s="186"/>
      <c r="W308" s="186"/>
      <c r="X308" s="186"/>
      <c r="Y308" s="186"/>
      <c r="Z308" s="186"/>
      <c r="AA308" s="186"/>
      <c r="AB308" s="186"/>
      <c r="AC308" s="186"/>
      <c r="AD308" s="186"/>
      <c r="AF308" s="150"/>
      <c r="AG308" s="150"/>
      <c r="AH308" s="150"/>
      <c r="AI308" s="150"/>
      <c r="AJ308" s="150"/>
      <c r="AK308" s="150"/>
      <c r="AL308" s="150"/>
      <c r="AM308" s="150"/>
      <c r="AN308" s="150"/>
      <c r="AO308" s="150"/>
      <c r="AP308" s="150"/>
      <c r="AQ308" s="150"/>
      <c r="AT308" s="186"/>
      <c r="AU308" s="186"/>
      <c r="AV308" s="186"/>
      <c r="AW308" s="186"/>
      <c r="AX308" s="186"/>
      <c r="AY308" s="186"/>
      <c r="AZ308" s="186"/>
      <c r="BA308" s="186"/>
      <c r="BB308" s="186"/>
      <c r="BC308" s="186"/>
      <c r="BD308" s="186"/>
      <c r="BE308" s="186"/>
      <c r="BF308" s="150"/>
      <c r="BG308" s="150"/>
      <c r="BI308"/>
      <c r="BJ308"/>
      <c r="BK308"/>
      <c r="BL308"/>
    </row>
    <row r="309" spans="3:64" ht="14.6">
      <c r="C309" s="289"/>
      <c r="D309" s="150"/>
      <c r="E309" s="150"/>
      <c r="F309" s="150"/>
      <c r="G309" s="150"/>
      <c r="H309" s="150"/>
      <c r="I309" s="150"/>
      <c r="J309" s="150"/>
      <c r="K309" s="150"/>
      <c r="L309" s="150"/>
      <c r="M309" s="150"/>
      <c r="N309" s="150"/>
      <c r="O309" s="150"/>
      <c r="P309" s="150"/>
      <c r="Q309" s="150"/>
      <c r="R309" s="150"/>
      <c r="S309" s="150"/>
      <c r="T309" s="186"/>
      <c r="U309" s="186"/>
      <c r="V309" s="186"/>
      <c r="W309" s="186"/>
      <c r="X309" s="186"/>
      <c r="Y309" s="186"/>
      <c r="Z309" s="186"/>
      <c r="AA309" s="186"/>
      <c r="AB309" s="186"/>
      <c r="AC309" s="186"/>
      <c r="AD309" s="186"/>
      <c r="AF309" s="150"/>
      <c r="AG309" s="150"/>
      <c r="AH309" s="150"/>
      <c r="AI309" s="150"/>
      <c r="AJ309" s="150"/>
      <c r="AK309" s="150"/>
      <c r="AL309" s="150"/>
      <c r="AM309" s="150"/>
      <c r="AN309" s="150"/>
      <c r="AO309" s="150"/>
      <c r="AP309" s="150"/>
      <c r="AQ309" s="150"/>
      <c r="AT309" s="186"/>
      <c r="AU309" s="186"/>
      <c r="AV309" s="186"/>
      <c r="AW309" s="186"/>
      <c r="AX309" s="186"/>
      <c r="AY309" s="186"/>
      <c r="AZ309" s="186"/>
      <c r="BA309" s="186"/>
      <c r="BB309" s="186"/>
      <c r="BC309" s="186"/>
      <c r="BD309" s="186"/>
      <c r="BE309" s="186"/>
      <c r="BF309" s="150"/>
      <c r="BG309" s="150"/>
      <c r="BI309"/>
      <c r="BJ309"/>
      <c r="BK309"/>
      <c r="BL309"/>
    </row>
    <row r="310" spans="3:64" ht="14.6">
      <c r="C310" s="289"/>
      <c r="D310" s="150"/>
      <c r="E310" s="150"/>
      <c r="F310" s="150"/>
      <c r="G310" s="150"/>
      <c r="H310" s="150"/>
      <c r="I310" s="150"/>
      <c r="J310" s="150"/>
      <c r="K310" s="150"/>
      <c r="L310" s="150"/>
      <c r="M310" s="150"/>
      <c r="N310" s="150"/>
      <c r="O310" s="150"/>
      <c r="P310" s="150"/>
      <c r="Q310" s="150"/>
      <c r="R310" s="150"/>
      <c r="S310" s="150"/>
      <c r="T310" s="186"/>
      <c r="U310" s="186"/>
      <c r="V310" s="186"/>
      <c r="W310" s="186"/>
      <c r="X310" s="186"/>
      <c r="Y310" s="186"/>
      <c r="Z310" s="186"/>
      <c r="AA310" s="186"/>
      <c r="AB310" s="186"/>
      <c r="AC310" s="186"/>
      <c r="AD310" s="186"/>
      <c r="AF310" s="150"/>
      <c r="AG310" s="150"/>
      <c r="AH310" s="150"/>
      <c r="AI310" s="150"/>
      <c r="AJ310" s="150"/>
      <c r="AK310" s="150"/>
      <c r="AL310" s="150"/>
      <c r="AM310" s="150"/>
      <c r="AN310" s="150"/>
      <c r="AO310" s="150"/>
      <c r="AP310" s="150"/>
      <c r="AQ310" s="150"/>
      <c r="AT310" s="186"/>
      <c r="AU310" s="186"/>
      <c r="AV310" s="186"/>
      <c r="AW310" s="186"/>
      <c r="AX310" s="186"/>
      <c r="AY310" s="186"/>
      <c r="AZ310" s="186"/>
      <c r="BA310" s="186"/>
      <c r="BB310" s="186"/>
      <c r="BC310" s="186"/>
      <c r="BD310" s="186"/>
      <c r="BE310" s="186"/>
      <c r="BF310" s="150"/>
      <c r="BG310" s="150"/>
      <c r="BI310"/>
      <c r="BJ310"/>
      <c r="BK310"/>
      <c r="BL310"/>
    </row>
    <row r="311" spans="3:64" ht="14.6">
      <c r="C311" s="289"/>
      <c r="D311" s="150"/>
      <c r="E311" s="150"/>
      <c r="F311" s="150"/>
      <c r="G311" s="150"/>
      <c r="H311" s="150"/>
      <c r="I311" s="150"/>
      <c r="J311" s="150"/>
      <c r="K311" s="150"/>
      <c r="L311" s="150"/>
      <c r="M311" s="150"/>
      <c r="N311" s="150"/>
      <c r="O311" s="150"/>
      <c r="P311" s="150"/>
      <c r="Q311" s="150"/>
      <c r="R311" s="150"/>
      <c r="S311" s="150"/>
      <c r="T311" s="186"/>
      <c r="U311" s="186"/>
      <c r="V311" s="186"/>
      <c r="W311" s="186"/>
      <c r="X311" s="186"/>
      <c r="Y311" s="186"/>
      <c r="Z311" s="186"/>
      <c r="AA311" s="186"/>
      <c r="AB311" s="186"/>
      <c r="AC311" s="186"/>
      <c r="AD311" s="186"/>
      <c r="AF311" s="150"/>
      <c r="AG311" s="150"/>
      <c r="AH311" s="150"/>
      <c r="AI311" s="150"/>
      <c r="AJ311" s="150"/>
      <c r="AK311" s="150"/>
      <c r="AL311" s="150"/>
      <c r="AM311" s="150"/>
      <c r="AN311" s="150"/>
      <c r="AO311" s="150"/>
      <c r="AP311" s="150"/>
      <c r="AQ311" s="150"/>
      <c r="AT311" s="186"/>
      <c r="AU311" s="186"/>
      <c r="AV311" s="186"/>
      <c r="AW311" s="186"/>
      <c r="AX311" s="186"/>
      <c r="AY311" s="186"/>
      <c r="AZ311" s="186"/>
      <c r="BA311" s="186"/>
      <c r="BB311" s="186"/>
      <c r="BC311" s="186"/>
      <c r="BD311" s="186"/>
      <c r="BE311" s="186"/>
      <c r="BF311" s="150"/>
      <c r="BG311" s="150"/>
      <c r="BI311"/>
      <c r="BJ311"/>
      <c r="BK311"/>
      <c r="BL311"/>
    </row>
    <row r="312" spans="3:64" ht="14.6">
      <c r="C312" s="289"/>
      <c r="D312" s="150"/>
      <c r="E312" s="150"/>
      <c r="F312" s="150"/>
      <c r="G312" s="150"/>
      <c r="H312" s="150"/>
      <c r="I312" s="150"/>
      <c r="J312" s="150"/>
      <c r="K312" s="150"/>
      <c r="L312" s="150"/>
      <c r="M312" s="150"/>
      <c r="N312" s="150"/>
      <c r="O312" s="150"/>
      <c r="P312" s="150"/>
      <c r="Q312" s="150"/>
      <c r="R312" s="150"/>
      <c r="S312" s="150"/>
      <c r="T312" s="186"/>
      <c r="U312" s="186"/>
      <c r="V312" s="186"/>
      <c r="W312" s="186"/>
      <c r="X312" s="186"/>
      <c r="Y312" s="186"/>
      <c r="Z312" s="186"/>
      <c r="AA312" s="186"/>
      <c r="AB312" s="186"/>
      <c r="AC312" s="186"/>
      <c r="AD312" s="186"/>
      <c r="AF312" s="150"/>
      <c r="AG312" s="150"/>
      <c r="AH312" s="150"/>
      <c r="AI312" s="150"/>
      <c r="AJ312" s="150"/>
      <c r="AK312" s="150"/>
      <c r="AL312" s="150"/>
      <c r="AM312" s="150"/>
      <c r="AN312" s="150"/>
      <c r="AO312" s="150"/>
      <c r="AP312" s="150"/>
      <c r="AQ312" s="150"/>
      <c r="AT312" s="186"/>
      <c r="AU312" s="186"/>
      <c r="AV312" s="186"/>
      <c r="AW312" s="186"/>
      <c r="AX312" s="186"/>
      <c r="AY312" s="186"/>
      <c r="AZ312" s="186"/>
      <c r="BA312" s="186"/>
      <c r="BB312" s="186"/>
      <c r="BC312" s="186"/>
      <c r="BD312" s="186"/>
      <c r="BE312" s="186"/>
      <c r="BF312" s="150"/>
      <c r="BG312" s="150"/>
      <c r="BI312"/>
      <c r="BJ312"/>
      <c r="BK312"/>
      <c r="BL312"/>
    </row>
    <row r="313" spans="3:64" ht="14.6">
      <c r="C313" s="289"/>
      <c r="D313" s="150"/>
      <c r="E313" s="150"/>
      <c r="F313" s="150"/>
      <c r="G313" s="150"/>
      <c r="H313" s="150"/>
      <c r="I313" s="150"/>
      <c r="J313" s="150"/>
      <c r="K313" s="150"/>
      <c r="L313" s="150"/>
      <c r="M313" s="150"/>
      <c r="N313" s="150"/>
      <c r="O313" s="150"/>
      <c r="P313" s="150"/>
      <c r="Q313" s="150"/>
      <c r="R313" s="150"/>
      <c r="S313" s="150"/>
      <c r="T313" s="186"/>
      <c r="U313" s="186"/>
      <c r="V313" s="186"/>
      <c r="W313" s="186"/>
      <c r="X313" s="186"/>
      <c r="Y313" s="186"/>
      <c r="Z313" s="186"/>
      <c r="AA313" s="186"/>
      <c r="AB313" s="186"/>
      <c r="AC313" s="186"/>
      <c r="AD313" s="186"/>
      <c r="AF313" s="150"/>
      <c r="AG313" s="150"/>
      <c r="AH313" s="150"/>
      <c r="AI313" s="150"/>
      <c r="AJ313" s="150"/>
      <c r="AK313" s="150"/>
      <c r="AL313" s="150"/>
      <c r="AM313" s="150"/>
      <c r="AN313" s="150"/>
      <c r="AO313" s="150"/>
      <c r="AP313" s="150"/>
      <c r="AQ313" s="150"/>
      <c r="AT313" s="186"/>
      <c r="AU313" s="186"/>
      <c r="AV313" s="186"/>
      <c r="AW313" s="186"/>
      <c r="AX313" s="186"/>
      <c r="AY313" s="186"/>
      <c r="AZ313" s="186"/>
      <c r="BA313" s="186"/>
      <c r="BB313" s="186"/>
      <c r="BC313" s="186"/>
      <c r="BD313" s="186"/>
      <c r="BE313" s="186"/>
      <c r="BF313" s="150"/>
      <c r="BG313" s="150"/>
      <c r="BI313"/>
      <c r="BJ313"/>
      <c r="BK313"/>
      <c r="BL313"/>
    </row>
    <row r="314" spans="3:64" ht="14.6">
      <c r="C314" s="289"/>
      <c r="D314" s="150"/>
      <c r="E314" s="150"/>
      <c r="F314" s="150"/>
      <c r="G314" s="150"/>
      <c r="H314" s="150"/>
      <c r="I314" s="150"/>
      <c r="J314" s="150"/>
      <c r="K314" s="150"/>
      <c r="L314" s="150"/>
      <c r="M314" s="150"/>
      <c r="N314" s="150"/>
      <c r="O314" s="150"/>
      <c r="P314" s="150"/>
      <c r="Q314" s="150"/>
      <c r="R314" s="150"/>
      <c r="S314" s="150"/>
      <c r="T314" s="186"/>
      <c r="U314" s="186"/>
      <c r="V314" s="186"/>
      <c r="W314" s="186"/>
      <c r="X314" s="186"/>
      <c r="Y314" s="186"/>
      <c r="Z314" s="186"/>
      <c r="AA314" s="186"/>
      <c r="AB314" s="186"/>
      <c r="AC314" s="186"/>
      <c r="AD314" s="186"/>
      <c r="AF314" s="150"/>
      <c r="AG314" s="150"/>
      <c r="AH314" s="150"/>
      <c r="AI314" s="150"/>
      <c r="AJ314" s="150"/>
      <c r="AK314" s="150"/>
      <c r="AL314" s="150"/>
      <c r="AM314" s="150"/>
      <c r="AN314" s="150"/>
      <c r="AO314" s="150"/>
      <c r="AP314" s="150"/>
      <c r="AQ314" s="150"/>
      <c r="AT314" s="186"/>
      <c r="AU314" s="186"/>
      <c r="AV314" s="186"/>
      <c r="AW314" s="186"/>
      <c r="AX314" s="186"/>
      <c r="AY314" s="186"/>
      <c r="AZ314" s="186"/>
      <c r="BA314" s="186"/>
      <c r="BB314" s="186"/>
      <c r="BC314" s="186"/>
      <c r="BD314" s="186"/>
      <c r="BE314" s="186"/>
      <c r="BF314" s="150"/>
      <c r="BG314" s="150"/>
      <c r="BI314"/>
      <c r="BJ314"/>
      <c r="BK314"/>
      <c r="BL314"/>
    </row>
    <row r="315" spans="3:64" ht="14.6">
      <c r="C315" s="289"/>
      <c r="D315" s="150"/>
      <c r="E315" s="150"/>
      <c r="F315" s="150"/>
      <c r="G315" s="150"/>
      <c r="H315" s="150"/>
      <c r="I315" s="150"/>
      <c r="J315" s="150"/>
      <c r="K315" s="150"/>
      <c r="L315" s="150"/>
      <c r="M315" s="150"/>
      <c r="N315" s="150"/>
      <c r="O315" s="150"/>
      <c r="P315" s="150"/>
      <c r="Q315" s="150"/>
      <c r="R315" s="150"/>
      <c r="S315" s="150"/>
      <c r="T315" s="186"/>
      <c r="U315" s="186"/>
      <c r="V315" s="186"/>
      <c r="W315" s="186"/>
      <c r="X315" s="186"/>
      <c r="Y315" s="186"/>
      <c r="Z315" s="186"/>
      <c r="AA315" s="186"/>
      <c r="AB315" s="186"/>
      <c r="AC315" s="186"/>
      <c r="AD315" s="186"/>
      <c r="AF315" s="150"/>
      <c r="AG315" s="150"/>
      <c r="AH315" s="150"/>
      <c r="AI315" s="150"/>
      <c r="AJ315" s="150"/>
      <c r="AK315" s="150"/>
      <c r="AL315" s="150"/>
      <c r="AM315" s="150"/>
      <c r="AN315" s="150"/>
      <c r="AO315" s="150"/>
      <c r="AP315" s="150"/>
      <c r="AQ315" s="150"/>
      <c r="AT315" s="186"/>
      <c r="AU315" s="186"/>
      <c r="AV315" s="186"/>
      <c r="AW315" s="186"/>
      <c r="AX315" s="186"/>
      <c r="AY315" s="186"/>
      <c r="AZ315" s="186"/>
      <c r="BA315" s="186"/>
      <c r="BB315" s="186"/>
      <c r="BC315" s="186"/>
      <c r="BD315" s="186"/>
      <c r="BE315" s="186"/>
      <c r="BF315" s="150"/>
      <c r="BG315" s="150"/>
      <c r="BI315"/>
      <c r="BJ315"/>
      <c r="BK315"/>
      <c r="BL315"/>
    </row>
    <row r="316" spans="3:64" ht="14.6">
      <c r="C316" s="289"/>
      <c r="D316" s="150"/>
      <c r="E316" s="150"/>
      <c r="F316" s="150"/>
      <c r="G316" s="150"/>
      <c r="H316" s="150"/>
      <c r="I316" s="150"/>
      <c r="J316" s="150"/>
      <c r="K316" s="150"/>
      <c r="L316" s="150"/>
      <c r="M316" s="150"/>
      <c r="N316" s="150"/>
      <c r="O316" s="150"/>
      <c r="P316" s="150"/>
      <c r="Q316" s="150"/>
      <c r="R316" s="150"/>
      <c r="S316" s="150"/>
      <c r="T316" s="186"/>
      <c r="U316" s="186"/>
      <c r="V316" s="186"/>
      <c r="W316" s="186"/>
      <c r="X316" s="186"/>
      <c r="Y316" s="186"/>
      <c r="Z316" s="186"/>
      <c r="AA316" s="186"/>
      <c r="AB316" s="186"/>
      <c r="AC316" s="186"/>
      <c r="AD316" s="186"/>
      <c r="AF316" s="150"/>
      <c r="AG316" s="150"/>
      <c r="AH316" s="150"/>
      <c r="AI316" s="150"/>
      <c r="AJ316" s="150"/>
      <c r="AK316" s="150"/>
      <c r="AL316" s="150"/>
      <c r="AM316" s="150"/>
      <c r="AN316" s="150"/>
      <c r="AO316" s="150"/>
      <c r="AP316" s="150"/>
      <c r="AQ316" s="150"/>
      <c r="AT316" s="186"/>
      <c r="AU316" s="186"/>
      <c r="AV316" s="186"/>
      <c r="AW316" s="186"/>
      <c r="AX316" s="186"/>
      <c r="AY316" s="186"/>
      <c r="AZ316" s="186"/>
      <c r="BA316" s="186"/>
      <c r="BB316" s="186"/>
      <c r="BC316" s="186"/>
      <c r="BD316" s="186"/>
      <c r="BE316" s="186"/>
      <c r="BF316" s="150"/>
      <c r="BG316" s="150"/>
      <c r="BI316"/>
      <c r="BJ316"/>
      <c r="BK316"/>
      <c r="BL316"/>
    </row>
    <row r="317" spans="3:64" ht="14.6">
      <c r="C317" s="289"/>
      <c r="D317" s="150"/>
      <c r="E317" s="150"/>
      <c r="F317" s="150"/>
      <c r="G317" s="150"/>
      <c r="H317" s="150"/>
      <c r="I317" s="150"/>
      <c r="J317" s="150"/>
      <c r="K317" s="150"/>
      <c r="L317" s="150"/>
      <c r="M317" s="150"/>
      <c r="N317" s="150"/>
      <c r="O317" s="150"/>
      <c r="P317" s="150"/>
      <c r="Q317" s="150"/>
      <c r="R317" s="150"/>
      <c r="S317" s="150"/>
      <c r="T317" s="186"/>
      <c r="U317" s="186"/>
      <c r="V317" s="186"/>
      <c r="W317" s="186"/>
      <c r="X317" s="186"/>
      <c r="Y317" s="186"/>
      <c r="Z317" s="186"/>
      <c r="AA317" s="186"/>
      <c r="AB317" s="186"/>
      <c r="AC317" s="186"/>
      <c r="AD317" s="186"/>
      <c r="AF317" s="150"/>
      <c r="AG317" s="150"/>
      <c r="AH317" s="150"/>
      <c r="AI317" s="150"/>
      <c r="AJ317" s="150"/>
      <c r="AK317" s="150"/>
      <c r="AL317" s="150"/>
      <c r="AM317" s="150"/>
      <c r="AN317" s="150"/>
      <c r="AO317" s="150"/>
      <c r="AP317" s="150"/>
      <c r="AQ317" s="150"/>
      <c r="AT317" s="186"/>
      <c r="AU317" s="186"/>
      <c r="AV317" s="186"/>
      <c r="AW317" s="186"/>
      <c r="AX317" s="186"/>
      <c r="AY317" s="186"/>
      <c r="AZ317" s="186"/>
      <c r="BA317" s="186"/>
      <c r="BB317" s="186"/>
      <c r="BC317" s="186"/>
      <c r="BD317" s="186"/>
      <c r="BE317" s="186"/>
      <c r="BF317" s="150"/>
      <c r="BG317" s="150"/>
      <c r="BI317"/>
      <c r="BJ317"/>
      <c r="BK317"/>
      <c r="BL317"/>
    </row>
    <row r="318" spans="3:64" ht="14.6">
      <c r="C318" s="289"/>
      <c r="D318" s="150"/>
      <c r="E318" s="150"/>
      <c r="F318" s="150"/>
      <c r="G318" s="150"/>
      <c r="H318" s="150"/>
      <c r="I318" s="150"/>
      <c r="J318" s="150"/>
      <c r="K318" s="150"/>
      <c r="L318" s="150"/>
      <c r="M318" s="150"/>
      <c r="N318" s="150"/>
      <c r="O318" s="150"/>
      <c r="P318" s="150"/>
      <c r="Q318" s="150"/>
      <c r="R318" s="150"/>
      <c r="S318" s="150"/>
      <c r="T318" s="186"/>
      <c r="U318" s="186"/>
      <c r="V318" s="186"/>
      <c r="W318" s="186"/>
      <c r="X318" s="186"/>
      <c r="Y318" s="186"/>
      <c r="Z318" s="186"/>
      <c r="AA318" s="186"/>
      <c r="AB318" s="186"/>
      <c r="AC318" s="186"/>
      <c r="AD318" s="186"/>
      <c r="AF318" s="150"/>
      <c r="AG318" s="150"/>
      <c r="AH318" s="150"/>
      <c r="AI318" s="150"/>
      <c r="AJ318" s="150"/>
      <c r="AK318" s="150"/>
      <c r="AL318" s="150"/>
      <c r="AM318" s="150"/>
      <c r="AN318" s="150"/>
      <c r="AO318" s="150"/>
      <c r="AP318" s="150"/>
      <c r="AQ318" s="150"/>
      <c r="AT318" s="186"/>
      <c r="AU318" s="186"/>
      <c r="AV318" s="186"/>
      <c r="AW318" s="186"/>
      <c r="AX318" s="186"/>
      <c r="AY318" s="186"/>
      <c r="AZ318" s="186"/>
      <c r="BA318" s="186"/>
      <c r="BB318" s="186"/>
      <c r="BC318" s="186"/>
      <c r="BD318" s="186"/>
      <c r="BE318" s="186"/>
      <c r="BF318" s="150"/>
      <c r="BG318" s="150"/>
      <c r="BI318"/>
      <c r="BJ318"/>
      <c r="BK318"/>
      <c r="BL318"/>
    </row>
    <row r="319" spans="3:64" ht="14.6">
      <c r="C319" s="289"/>
      <c r="D319" s="150"/>
      <c r="E319" s="150"/>
      <c r="F319" s="150"/>
      <c r="G319" s="150"/>
      <c r="H319" s="150"/>
      <c r="I319" s="150"/>
      <c r="J319" s="150"/>
      <c r="K319" s="150"/>
      <c r="L319" s="150"/>
      <c r="M319" s="150"/>
      <c r="N319" s="150"/>
      <c r="O319" s="150"/>
      <c r="P319" s="150"/>
      <c r="Q319" s="150"/>
      <c r="R319" s="150"/>
      <c r="S319" s="150"/>
      <c r="T319" s="186"/>
      <c r="U319" s="186"/>
      <c r="V319" s="186"/>
      <c r="W319" s="186"/>
      <c r="X319" s="186"/>
      <c r="Y319" s="186"/>
      <c r="Z319" s="186"/>
      <c r="AA319" s="186"/>
      <c r="AB319" s="186"/>
      <c r="AC319" s="186"/>
      <c r="AD319" s="186"/>
      <c r="AF319" s="150"/>
      <c r="AG319" s="150"/>
      <c r="AH319" s="150"/>
      <c r="AI319" s="150"/>
      <c r="AJ319" s="150"/>
      <c r="AK319" s="150"/>
      <c r="AL319" s="150"/>
      <c r="AM319" s="150"/>
      <c r="AN319" s="150"/>
      <c r="AO319" s="150"/>
      <c r="AP319" s="150"/>
      <c r="AQ319" s="150"/>
      <c r="AT319" s="186"/>
      <c r="AU319" s="186"/>
      <c r="AV319" s="186"/>
      <c r="AW319" s="186"/>
      <c r="AX319" s="186"/>
      <c r="AY319" s="186"/>
      <c r="AZ319" s="186"/>
      <c r="BA319" s="186"/>
      <c r="BB319" s="186"/>
      <c r="BC319" s="186"/>
      <c r="BD319" s="186"/>
      <c r="BE319" s="186"/>
      <c r="BF319" s="150"/>
      <c r="BG319" s="150"/>
      <c r="BI319"/>
      <c r="BJ319"/>
      <c r="BK319"/>
      <c r="BL319"/>
    </row>
    <row r="320" spans="3:64" ht="14.6">
      <c r="C320" s="289"/>
      <c r="D320" s="150"/>
      <c r="E320" s="150"/>
      <c r="F320" s="150"/>
      <c r="G320" s="150"/>
      <c r="H320" s="150"/>
      <c r="I320" s="150"/>
      <c r="J320" s="150"/>
      <c r="K320" s="150"/>
      <c r="L320" s="150"/>
      <c r="M320" s="150"/>
      <c r="N320" s="150"/>
      <c r="O320" s="150"/>
      <c r="P320" s="150"/>
      <c r="Q320" s="150"/>
      <c r="R320" s="150"/>
      <c r="S320" s="150"/>
      <c r="T320" s="186"/>
      <c r="U320" s="186"/>
      <c r="V320" s="186"/>
      <c r="W320" s="186"/>
      <c r="X320" s="186"/>
      <c r="Y320" s="186"/>
      <c r="Z320" s="186"/>
      <c r="AA320" s="186"/>
      <c r="AB320" s="186"/>
      <c r="AC320" s="186"/>
      <c r="AD320" s="186"/>
      <c r="AF320" s="150"/>
      <c r="AG320" s="150"/>
      <c r="AH320" s="150"/>
      <c r="AI320" s="150"/>
      <c r="AJ320" s="150"/>
      <c r="AK320" s="150"/>
      <c r="AL320" s="150"/>
      <c r="AM320" s="150"/>
      <c r="AN320" s="150"/>
      <c r="AO320" s="150"/>
      <c r="AP320" s="150"/>
      <c r="AQ320" s="150"/>
      <c r="AT320" s="186"/>
      <c r="AU320" s="186"/>
      <c r="AV320" s="186"/>
      <c r="AW320" s="186"/>
      <c r="AX320" s="186"/>
      <c r="AY320" s="186"/>
      <c r="AZ320" s="186"/>
      <c r="BA320" s="186"/>
      <c r="BB320" s="186"/>
      <c r="BC320" s="186"/>
      <c r="BD320" s="186"/>
      <c r="BE320" s="186"/>
      <c r="BF320" s="150"/>
      <c r="BG320" s="150"/>
      <c r="BI320"/>
      <c r="BJ320"/>
      <c r="BK320"/>
      <c r="BL320"/>
    </row>
    <row r="321" spans="3:64" ht="14.6">
      <c r="C321" s="289"/>
      <c r="D321" s="150"/>
      <c r="E321" s="150"/>
      <c r="F321" s="150"/>
      <c r="G321" s="150"/>
      <c r="H321" s="150"/>
      <c r="I321" s="150"/>
      <c r="J321" s="150"/>
      <c r="K321" s="150"/>
      <c r="L321" s="150"/>
      <c r="M321" s="150"/>
      <c r="N321" s="150"/>
      <c r="O321" s="150"/>
      <c r="P321" s="150"/>
      <c r="Q321" s="150"/>
      <c r="R321" s="150"/>
      <c r="S321" s="150"/>
      <c r="T321" s="186"/>
      <c r="U321" s="186"/>
      <c r="V321" s="186"/>
      <c r="W321" s="186"/>
      <c r="X321" s="186"/>
      <c r="Y321" s="186"/>
      <c r="Z321" s="186"/>
      <c r="AA321" s="186"/>
      <c r="AB321" s="186"/>
      <c r="AC321" s="186"/>
      <c r="AD321" s="186"/>
      <c r="AF321" s="150"/>
      <c r="AG321" s="150"/>
      <c r="AH321" s="150"/>
      <c r="AI321" s="150"/>
      <c r="AJ321" s="150"/>
      <c r="AK321" s="150"/>
      <c r="AL321" s="150"/>
      <c r="AM321" s="150"/>
      <c r="AN321" s="150"/>
      <c r="AO321" s="150"/>
      <c r="AP321" s="150"/>
      <c r="AQ321" s="150"/>
      <c r="AT321" s="186"/>
      <c r="AU321" s="186"/>
      <c r="AV321" s="186"/>
      <c r="AW321" s="186"/>
      <c r="AX321" s="186"/>
      <c r="AY321" s="186"/>
      <c r="AZ321" s="186"/>
      <c r="BA321" s="186"/>
      <c r="BB321" s="186"/>
      <c r="BC321" s="186"/>
      <c r="BD321" s="186"/>
      <c r="BE321" s="186"/>
      <c r="BF321" s="150"/>
      <c r="BG321" s="150"/>
      <c r="BI321"/>
      <c r="BJ321"/>
      <c r="BK321"/>
      <c r="BL321"/>
    </row>
    <row r="322" spans="3:64" ht="14.6">
      <c r="C322" s="289"/>
      <c r="D322" s="150"/>
      <c r="E322" s="150"/>
      <c r="F322" s="150"/>
      <c r="G322" s="150"/>
      <c r="H322" s="150"/>
      <c r="I322" s="150"/>
      <c r="J322" s="150"/>
      <c r="K322" s="150"/>
      <c r="L322" s="150"/>
      <c r="M322" s="150"/>
      <c r="N322" s="150"/>
      <c r="O322" s="150"/>
      <c r="P322" s="150"/>
      <c r="Q322" s="150"/>
      <c r="R322" s="150"/>
      <c r="S322" s="150"/>
      <c r="T322" s="186"/>
      <c r="U322" s="186"/>
      <c r="V322" s="186"/>
      <c r="W322" s="186"/>
      <c r="X322" s="186"/>
      <c r="Y322" s="186"/>
      <c r="Z322" s="186"/>
      <c r="AA322" s="186"/>
      <c r="AB322" s="186"/>
      <c r="AC322" s="186"/>
      <c r="AD322" s="186"/>
      <c r="AF322" s="150"/>
      <c r="AG322" s="150"/>
      <c r="AH322" s="150"/>
      <c r="AI322" s="150"/>
      <c r="AJ322" s="150"/>
      <c r="AK322" s="150"/>
      <c r="AL322" s="150"/>
      <c r="AM322" s="150"/>
      <c r="AN322" s="150"/>
      <c r="AO322" s="150"/>
      <c r="AP322" s="150"/>
      <c r="AQ322" s="150"/>
      <c r="AT322" s="186"/>
      <c r="AU322" s="186"/>
      <c r="AV322" s="186"/>
      <c r="AW322" s="186"/>
      <c r="AX322" s="186"/>
      <c r="AY322" s="186"/>
      <c r="AZ322" s="186"/>
      <c r="BA322" s="186"/>
      <c r="BB322" s="186"/>
      <c r="BC322" s="186"/>
      <c r="BD322" s="186"/>
      <c r="BE322" s="186"/>
      <c r="BF322" s="150"/>
      <c r="BG322" s="150"/>
    </row>
    <row r="323" spans="3:64" ht="14.6">
      <c r="C323" s="289"/>
      <c r="D323" s="150"/>
      <c r="E323" s="150"/>
      <c r="F323" s="150"/>
      <c r="G323" s="150"/>
      <c r="H323" s="150"/>
      <c r="I323" s="150"/>
      <c r="J323" s="150"/>
      <c r="K323" s="150"/>
      <c r="L323" s="150"/>
      <c r="M323" s="150"/>
      <c r="N323" s="150"/>
      <c r="O323" s="150"/>
      <c r="P323" s="150"/>
      <c r="Q323" s="150"/>
      <c r="R323" s="150"/>
      <c r="S323" s="150"/>
      <c r="T323" s="186"/>
      <c r="U323" s="186"/>
      <c r="V323" s="186"/>
      <c r="W323" s="186"/>
      <c r="X323" s="186"/>
      <c r="Y323" s="186"/>
      <c r="Z323" s="186"/>
      <c r="AA323" s="186"/>
      <c r="AB323" s="186"/>
      <c r="AC323" s="186"/>
      <c r="AD323" s="186"/>
      <c r="AF323" s="150"/>
      <c r="AG323" s="150"/>
      <c r="AH323" s="150"/>
      <c r="AI323" s="150"/>
      <c r="AJ323" s="150"/>
      <c r="AK323" s="150"/>
      <c r="AL323" s="150"/>
      <c r="AM323" s="150"/>
      <c r="AN323" s="150"/>
      <c r="AO323" s="150"/>
      <c r="AP323" s="150"/>
      <c r="AQ323" s="150"/>
      <c r="AT323" s="186"/>
      <c r="AU323" s="186"/>
      <c r="AV323" s="186"/>
      <c r="AW323" s="186"/>
      <c r="AX323" s="186"/>
      <c r="AY323" s="186"/>
      <c r="AZ323" s="186"/>
      <c r="BA323" s="186"/>
      <c r="BB323" s="186"/>
      <c r="BC323" s="186"/>
      <c r="BD323" s="186"/>
      <c r="BE323" s="186"/>
      <c r="BF323" s="150"/>
      <c r="BG323" s="150"/>
    </row>
    <row r="324" spans="3:64" ht="14.6">
      <c r="C324" s="289"/>
      <c r="D324" s="150"/>
      <c r="E324" s="150"/>
      <c r="F324" s="150"/>
      <c r="G324" s="150"/>
      <c r="H324" s="150"/>
      <c r="I324" s="150"/>
      <c r="J324" s="150"/>
      <c r="K324" s="150"/>
      <c r="L324" s="150"/>
      <c r="M324" s="150"/>
      <c r="N324" s="150"/>
      <c r="O324" s="150"/>
      <c r="P324" s="150"/>
      <c r="Q324" s="150"/>
      <c r="R324" s="150"/>
      <c r="S324" s="150"/>
      <c r="T324" s="186"/>
      <c r="U324" s="186"/>
      <c r="V324" s="186"/>
      <c r="W324" s="186"/>
      <c r="X324" s="186"/>
      <c r="Y324" s="186"/>
      <c r="Z324" s="186"/>
      <c r="AA324" s="186"/>
      <c r="AB324" s="186"/>
      <c r="AC324" s="186"/>
      <c r="AD324" s="186"/>
      <c r="AF324" s="150"/>
      <c r="AG324" s="150"/>
      <c r="AH324" s="150"/>
      <c r="AI324" s="150"/>
      <c r="AJ324" s="150"/>
      <c r="AK324" s="150"/>
      <c r="AL324" s="150"/>
      <c r="AM324" s="150"/>
      <c r="AN324" s="150"/>
      <c r="AO324" s="150"/>
      <c r="AP324" s="150"/>
      <c r="AQ324" s="150"/>
      <c r="AT324" s="186"/>
      <c r="AU324" s="186"/>
      <c r="AV324" s="186"/>
      <c r="AW324" s="186"/>
      <c r="AX324" s="186"/>
      <c r="AY324" s="186"/>
      <c r="AZ324" s="186"/>
      <c r="BA324" s="186"/>
      <c r="BB324" s="186"/>
      <c r="BC324" s="186"/>
      <c r="BD324" s="186"/>
      <c r="BE324" s="186"/>
      <c r="BF324" s="150"/>
      <c r="BG324" s="150"/>
    </row>
    <row r="325" spans="3:64" ht="14.6">
      <c r="C325" s="289"/>
      <c r="D325" s="150"/>
      <c r="E325" s="150"/>
      <c r="F325" s="150"/>
      <c r="G325" s="150"/>
      <c r="H325" s="150"/>
      <c r="I325" s="150"/>
      <c r="J325" s="150"/>
      <c r="K325" s="150"/>
      <c r="L325" s="150"/>
      <c r="M325" s="150"/>
      <c r="N325" s="150"/>
      <c r="O325" s="150"/>
      <c r="P325" s="150"/>
      <c r="Q325" s="150"/>
      <c r="R325" s="150"/>
      <c r="S325" s="150"/>
      <c r="T325" s="186"/>
      <c r="U325" s="186"/>
      <c r="V325" s="186"/>
      <c r="W325" s="186"/>
      <c r="X325" s="186"/>
      <c r="Y325" s="186"/>
      <c r="Z325" s="186"/>
      <c r="AA325" s="186"/>
      <c r="AB325" s="186"/>
      <c r="AC325" s="186"/>
      <c r="AD325" s="186"/>
      <c r="AF325" s="150"/>
      <c r="AG325" s="150"/>
      <c r="AH325" s="150"/>
      <c r="AI325" s="150"/>
      <c r="AJ325" s="150"/>
      <c r="AK325" s="150"/>
      <c r="AL325" s="150"/>
      <c r="AM325" s="150"/>
      <c r="AN325" s="150"/>
      <c r="AO325" s="150"/>
      <c r="AP325" s="150"/>
      <c r="AQ325" s="150"/>
      <c r="AT325" s="186"/>
      <c r="AU325" s="186"/>
      <c r="AV325" s="186"/>
      <c r="AW325" s="186"/>
      <c r="AX325" s="186"/>
      <c r="AY325" s="186"/>
      <c r="AZ325" s="186"/>
      <c r="BA325" s="186"/>
      <c r="BB325" s="186"/>
      <c r="BC325" s="186"/>
      <c r="BD325" s="186"/>
      <c r="BE325" s="186"/>
      <c r="BF325" s="150"/>
      <c r="BG325" s="150"/>
    </row>
    <row r="326" spans="3:64" ht="14.6">
      <c r="C326" s="289"/>
      <c r="D326" s="150"/>
      <c r="E326" s="150"/>
      <c r="F326" s="150"/>
      <c r="G326" s="150"/>
      <c r="H326" s="150"/>
      <c r="I326" s="150"/>
      <c r="J326" s="150"/>
      <c r="K326" s="150"/>
      <c r="L326" s="150"/>
      <c r="M326" s="150"/>
      <c r="N326" s="150"/>
      <c r="O326" s="150"/>
      <c r="P326" s="150"/>
      <c r="Q326" s="150"/>
      <c r="R326" s="150"/>
      <c r="S326" s="150"/>
      <c r="T326" s="186"/>
      <c r="U326" s="186"/>
      <c r="V326" s="186"/>
      <c r="W326" s="186"/>
      <c r="X326" s="186"/>
      <c r="Y326" s="186"/>
      <c r="Z326" s="186"/>
      <c r="AA326" s="186"/>
      <c r="AB326" s="186"/>
      <c r="AC326" s="186"/>
      <c r="AD326" s="186"/>
      <c r="AF326" s="150"/>
      <c r="AG326" s="150"/>
      <c r="AH326" s="150"/>
      <c r="AI326" s="150"/>
      <c r="AJ326" s="150"/>
      <c r="AK326" s="150"/>
      <c r="AL326" s="150"/>
      <c r="AM326" s="150"/>
      <c r="AN326" s="150"/>
      <c r="AO326" s="150"/>
      <c r="AP326" s="150"/>
      <c r="AQ326" s="150"/>
      <c r="AT326" s="186"/>
      <c r="AU326" s="186"/>
      <c r="AV326" s="186"/>
      <c r="AW326" s="186"/>
      <c r="AX326" s="186"/>
      <c r="AY326" s="186"/>
      <c r="AZ326" s="186"/>
      <c r="BA326" s="186"/>
      <c r="BB326" s="186"/>
      <c r="BC326" s="186"/>
      <c r="BD326" s="186"/>
      <c r="BE326" s="186"/>
      <c r="BF326" s="150"/>
      <c r="BG326" s="150"/>
    </row>
    <row r="327" spans="3:64" ht="14.6">
      <c r="C327" s="289"/>
      <c r="D327" s="150"/>
      <c r="E327" s="150"/>
      <c r="F327" s="150"/>
      <c r="G327" s="150"/>
      <c r="H327" s="150"/>
      <c r="I327" s="150"/>
      <c r="J327" s="150"/>
      <c r="K327" s="150"/>
      <c r="L327" s="150"/>
      <c r="M327" s="150"/>
      <c r="N327" s="150"/>
      <c r="O327" s="150"/>
      <c r="P327" s="150"/>
      <c r="Q327" s="150"/>
      <c r="R327" s="150"/>
      <c r="S327" s="150"/>
      <c r="T327" s="186"/>
      <c r="U327" s="186"/>
      <c r="V327" s="186"/>
      <c r="W327" s="186"/>
      <c r="X327" s="186"/>
      <c r="Y327" s="186"/>
      <c r="Z327" s="186"/>
      <c r="AA327" s="186"/>
      <c r="AB327" s="186"/>
      <c r="AC327" s="186"/>
      <c r="AD327" s="186"/>
      <c r="AF327" s="150"/>
      <c r="AG327" s="150"/>
      <c r="AH327" s="150"/>
      <c r="AI327" s="150"/>
      <c r="AJ327" s="150"/>
      <c r="AK327" s="150"/>
      <c r="AL327" s="150"/>
      <c r="AM327" s="150"/>
      <c r="AN327" s="150"/>
      <c r="AO327" s="150"/>
      <c r="AP327" s="150"/>
      <c r="AQ327" s="150"/>
      <c r="AT327" s="186"/>
      <c r="AU327" s="186"/>
      <c r="AV327" s="186"/>
      <c r="AW327" s="186"/>
      <c r="AX327" s="186"/>
      <c r="AY327" s="186"/>
      <c r="AZ327" s="186"/>
      <c r="BA327" s="186"/>
      <c r="BB327" s="186"/>
      <c r="BC327" s="186"/>
      <c r="BD327" s="186"/>
      <c r="BE327" s="186"/>
      <c r="BF327" s="150"/>
      <c r="BG327" s="150"/>
    </row>
    <row r="328" spans="3:64" ht="14.6">
      <c r="C328" s="289"/>
      <c r="D328" s="150"/>
      <c r="E328" s="150"/>
      <c r="F328" s="150"/>
      <c r="G328" s="150"/>
      <c r="H328" s="150"/>
      <c r="I328" s="150"/>
      <c r="J328" s="150"/>
      <c r="K328" s="150"/>
      <c r="L328" s="150"/>
      <c r="M328" s="150"/>
      <c r="N328" s="150"/>
      <c r="O328" s="150"/>
      <c r="P328" s="150"/>
      <c r="Q328" s="150"/>
      <c r="R328" s="150"/>
      <c r="S328" s="150"/>
      <c r="T328" s="186"/>
      <c r="U328" s="186"/>
      <c r="V328" s="186"/>
      <c r="W328" s="186"/>
      <c r="X328" s="186"/>
      <c r="Y328" s="186"/>
      <c r="Z328" s="186"/>
      <c r="AA328" s="186"/>
      <c r="AB328" s="186"/>
      <c r="AC328" s="186"/>
      <c r="AD328" s="186"/>
      <c r="AF328" s="150"/>
      <c r="AG328" s="150"/>
      <c r="AH328" s="150"/>
      <c r="AI328" s="150"/>
      <c r="AJ328" s="150"/>
      <c r="AK328" s="150"/>
      <c r="AL328" s="150"/>
      <c r="AM328" s="150"/>
      <c r="AN328" s="150"/>
      <c r="AO328" s="150"/>
      <c r="AP328" s="150"/>
      <c r="AQ328" s="150"/>
      <c r="AT328" s="186"/>
      <c r="AU328" s="186"/>
      <c r="AV328" s="186"/>
      <c r="AW328" s="186"/>
      <c r="AX328" s="186"/>
      <c r="AY328" s="186"/>
      <c r="AZ328" s="186"/>
      <c r="BA328" s="186"/>
      <c r="BB328" s="186"/>
      <c r="BC328" s="186"/>
      <c r="BD328" s="186"/>
      <c r="BE328" s="186"/>
      <c r="BF328" s="150"/>
      <c r="BG328" s="150"/>
    </row>
    <row r="329" spans="3:64" ht="14.6">
      <c r="C329" s="289"/>
      <c r="D329" s="150"/>
      <c r="E329" s="150"/>
      <c r="F329" s="150"/>
      <c r="G329" s="150"/>
      <c r="H329" s="150"/>
      <c r="I329" s="150"/>
      <c r="J329" s="150"/>
      <c r="K329" s="150"/>
      <c r="L329" s="150"/>
      <c r="M329" s="150"/>
      <c r="N329" s="150"/>
      <c r="O329" s="150"/>
      <c r="P329" s="150"/>
      <c r="Q329" s="150"/>
      <c r="R329" s="150"/>
      <c r="S329" s="150"/>
      <c r="T329" s="186"/>
      <c r="U329" s="186"/>
      <c r="V329" s="186"/>
      <c r="W329" s="186"/>
      <c r="X329" s="186"/>
      <c r="Y329" s="186"/>
      <c r="Z329" s="186"/>
      <c r="AA329" s="186"/>
      <c r="AB329" s="186"/>
      <c r="AC329" s="186"/>
      <c r="AD329" s="186"/>
      <c r="AF329" s="150"/>
      <c r="AG329" s="150"/>
      <c r="AH329" s="150"/>
      <c r="AI329" s="150"/>
      <c r="AJ329" s="150"/>
      <c r="AK329" s="150"/>
      <c r="AL329" s="150"/>
      <c r="AM329" s="150"/>
      <c r="AN329" s="150"/>
      <c r="AO329" s="150"/>
      <c r="AP329" s="150"/>
      <c r="AQ329" s="150"/>
      <c r="AT329" s="186"/>
      <c r="AU329" s="186"/>
      <c r="AV329" s="186"/>
      <c r="AW329" s="186"/>
      <c r="AX329" s="186"/>
      <c r="AY329" s="186"/>
      <c r="AZ329" s="186"/>
      <c r="BA329" s="186"/>
      <c r="BB329" s="186"/>
      <c r="BC329" s="186"/>
      <c r="BD329" s="186"/>
      <c r="BE329" s="186"/>
      <c r="BF329" s="150"/>
      <c r="BG329" s="150"/>
    </row>
    <row r="330" spans="3:64" ht="14.6">
      <c r="C330" s="289"/>
      <c r="D330" s="150"/>
      <c r="E330" s="150"/>
      <c r="F330" s="150"/>
      <c r="G330" s="150"/>
      <c r="H330" s="150"/>
      <c r="I330" s="150"/>
      <c r="J330" s="150"/>
      <c r="K330" s="150"/>
      <c r="L330" s="150"/>
      <c r="M330" s="150"/>
      <c r="N330" s="150"/>
      <c r="O330" s="150"/>
      <c r="P330" s="150"/>
      <c r="Q330" s="150"/>
      <c r="R330" s="150"/>
      <c r="S330" s="150"/>
      <c r="T330" s="186"/>
      <c r="U330" s="186"/>
      <c r="V330" s="186"/>
      <c r="W330" s="186"/>
      <c r="X330" s="186"/>
      <c r="Y330" s="186"/>
      <c r="Z330" s="186"/>
      <c r="AA330" s="186"/>
      <c r="AB330" s="186"/>
      <c r="AC330" s="186"/>
      <c r="AD330" s="186"/>
      <c r="AF330" s="150"/>
      <c r="AG330" s="150"/>
      <c r="AH330" s="150"/>
      <c r="AI330" s="150"/>
      <c r="AJ330" s="150"/>
      <c r="AK330" s="150"/>
      <c r="AL330" s="150"/>
      <c r="AM330" s="150"/>
      <c r="AN330" s="150"/>
      <c r="AO330" s="150"/>
      <c r="AP330" s="150"/>
      <c r="AQ330" s="150"/>
      <c r="AT330" s="186"/>
      <c r="AU330" s="186"/>
      <c r="AV330" s="186"/>
      <c r="AW330" s="186"/>
      <c r="AX330" s="186"/>
      <c r="AY330" s="186"/>
      <c r="AZ330" s="186"/>
      <c r="BA330" s="186"/>
      <c r="BB330" s="186"/>
      <c r="BC330" s="186"/>
      <c r="BD330" s="186"/>
      <c r="BE330" s="186"/>
      <c r="BF330" s="150"/>
      <c r="BG330" s="150"/>
    </row>
    <row r="331" spans="3:64" ht="14.6">
      <c r="C331" s="289"/>
      <c r="D331" s="150"/>
      <c r="E331" s="150"/>
      <c r="F331" s="150"/>
      <c r="G331" s="150"/>
      <c r="H331" s="150"/>
      <c r="I331" s="150"/>
      <c r="J331" s="150"/>
      <c r="K331" s="150"/>
      <c r="L331" s="150"/>
      <c r="M331" s="150"/>
      <c r="N331" s="150"/>
      <c r="O331" s="150"/>
      <c r="P331" s="150"/>
      <c r="Q331" s="150"/>
      <c r="R331" s="150"/>
      <c r="S331" s="150"/>
      <c r="T331" s="186"/>
      <c r="U331" s="186"/>
      <c r="V331" s="186"/>
      <c r="W331" s="186"/>
      <c r="X331" s="186"/>
      <c r="Y331" s="186"/>
      <c r="Z331" s="186"/>
      <c r="AA331" s="186"/>
      <c r="AB331" s="186"/>
      <c r="AC331" s="186"/>
      <c r="AD331" s="186"/>
      <c r="AF331" s="150"/>
      <c r="AG331" s="150"/>
      <c r="AH331" s="150"/>
      <c r="AI331" s="150"/>
      <c r="AJ331" s="150"/>
      <c r="AK331" s="150"/>
      <c r="AL331" s="150"/>
      <c r="AM331" s="150"/>
      <c r="AN331" s="150"/>
      <c r="AO331" s="150"/>
      <c r="AP331" s="150"/>
      <c r="AQ331" s="150"/>
      <c r="AT331" s="186"/>
      <c r="AU331" s="186"/>
      <c r="AV331" s="186"/>
      <c r="AW331" s="186"/>
      <c r="AX331" s="186"/>
      <c r="AY331" s="186"/>
      <c r="AZ331" s="186"/>
      <c r="BA331" s="186"/>
      <c r="BB331" s="186"/>
      <c r="BC331" s="186"/>
      <c r="BD331" s="186"/>
      <c r="BE331" s="186"/>
      <c r="BF331" s="150"/>
      <c r="BG331" s="150"/>
    </row>
    <row r="332" spans="3:64" ht="14.6">
      <c r="C332" s="289"/>
      <c r="D332" s="150"/>
      <c r="E332" s="150"/>
      <c r="F332" s="150"/>
      <c r="G332" s="150"/>
      <c r="H332" s="150"/>
      <c r="I332" s="150"/>
      <c r="J332" s="150"/>
      <c r="K332" s="150"/>
      <c r="L332" s="150"/>
      <c r="M332" s="150"/>
      <c r="N332" s="150"/>
      <c r="O332" s="150"/>
      <c r="P332" s="150"/>
      <c r="Q332" s="150"/>
      <c r="R332" s="150"/>
      <c r="S332" s="150"/>
      <c r="T332" s="186"/>
      <c r="U332" s="186"/>
      <c r="V332" s="186"/>
      <c r="W332" s="186"/>
      <c r="X332" s="186"/>
      <c r="Y332" s="186"/>
      <c r="Z332" s="186"/>
      <c r="AA332" s="186"/>
      <c r="AB332" s="186"/>
      <c r="AC332" s="186"/>
      <c r="AD332" s="186"/>
      <c r="AF332" s="150"/>
      <c r="AG332" s="150"/>
      <c r="AH332" s="150"/>
      <c r="AI332" s="150"/>
      <c r="AJ332" s="150"/>
      <c r="AK332" s="150"/>
      <c r="AL332" s="150"/>
      <c r="AM332" s="150"/>
      <c r="AN332" s="150"/>
      <c r="AO332" s="150"/>
      <c r="AP332" s="150"/>
      <c r="AQ332" s="150"/>
      <c r="AT332" s="186"/>
      <c r="AU332" s="186"/>
      <c r="AV332" s="186"/>
      <c r="AW332" s="186"/>
      <c r="AX332" s="186"/>
      <c r="AY332" s="186"/>
      <c r="AZ332" s="186"/>
      <c r="BA332" s="186"/>
      <c r="BB332" s="186"/>
      <c r="BC332" s="186"/>
      <c r="BD332" s="186"/>
      <c r="BE332" s="186"/>
      <c r="BF332" s="150"/>
      <c r="BG332" s="150"/>
    </row>
    <row r="333" spans="3:64" ht="14.6">
      <c r="C333" s="289"/>
      <c r="D333" s="150"/>
      <c r="E333" s="150"/>
      <c r="F333" s="150"/>
      <c r="G333" s="150"/>
      <c r="H333" s="150"/>
      <c r="I333" s="150"/>
      <c r="J333" s="150"/>
      <c r="K333" s="150"/>
      <c r="L333" s="150"/>
      <c r="M333" s="150"/>
      <c r="N333" s="150"/>
      <c r="O333" s="150"/>
      <c r="P333" s="150"/>
      <c r="Q333" s="150"/>
      <c r="R333" s="150"/>
      <c r="S333" s="150"/>
      <c r="T333" s="186"/>
      <c r="U333" s="186"/>
      <c r="V333" s="186"/>
      <c r="W333" s="186"/>
      <c r="X333" s="186"/>
      <c r="Y333" s="186"/>
      <c r="Z333" s="186"/>
      <c r="AA333" s="186"/>
      <c r="AB333" s="186"/>
      <c r="AC333" s="186"/>
      <c r="AD333" s="186"/>
      <c r="AF333" s="150"/>
      <c r="AG333" s="150"/>
      <c r="AH333" s="150"/>
      <c r="AI333" s="150"/>
      <c r="AJ333" s="150"/>
      <c r="AK333" s="150"/>
      <c r="AL333" s="150"/>
      <c r="AM333" s="150"/>
      <c r="AN333" s="150"/>
      <c r="AO333" s="150"/>
      <c r="AP333" s="150"/>
      <c r="AQ333" s="150"/>
      <c r="AT333" s="186"/>
      <c r="AU333" s="186"/>
      <c r="AV333" s="186"/>
      <c r="AW333" s="186"/>
      <c r="AX333" s="186"/>
      <c r="AY333" s="186"/>
      <c r="AZ333" s="186"/>
      <c r="BA333" s="186"/>
      <c r="BB333" s="186"/>
      <c r="BC333" s="186"/>
      <c r="BD333" s="186"/>
      <c r="BE333" s="186"/>
      <c r="BF333" s="150"/>
      <c r="BG333" s="150"/>
    </row>
    <row r="334" spans="3:64" ht="14.6">
      <c r="C334" s="289"/>
      <c r="D334" s="150"/>
      <c r="E334" s="150"/>
      <c r="F334" s="150"/>
      <c r="G334" s="150"/>
      <c r="H334" s="150"/>
      <c r="I334" s="150"/>
      <c r="J334" s="150"/>
      <c r="K334" s="150"/>
      <c r="L334" s="150"/>
      <c r="M334" s="150"/>
      <c r="N334" s="150"/>
      <c r="O334" s="150"/>
      <c r="P334" s="150"/>
      <c r="Q334" s="150"/>
      <c r="R334" s="150"/>
      <c r="S334" s="150"/>
      <c r="T334" s="186"/>
      <c r="U334" s="186"/>
      <c r="V334" s="186"/>
      <c r="W334" s="186"/>
      <c r="X334" s="186"/>
      <c r="Y334" s="186"/>
      <c r="Z334" s="186"/>
      <c r="AA334" s="186"/>
      <c r="AB334" s="186"/>
      <c r="AC334" s="186"/>
      <c r="AD334" s="186"/>
      <c r="AF334" s="150"/>
      <c r="AG334" s="150"/>
      <c r="AH334" s="150"/>
      <c r="AI334" s="150"/>
      <c r="AJ334" s="150"/>
      <c r="AK334" s="150"/>
      <c r="AL334" s="150"/>
      <c r="AM334" s="150"/>
      <c r="AN334" s="150"/>
      <c r="AO334" s="150"/>
      <c r="AP334" s="150"/>
      <c r="AQ334" s="150"/>
      <c r="AT334" s="186"/>
      <c r="AU334" s="186"/>
      <c r="AV334" s="186"/>
      <c r="AW334" s="186"/>
      <c r="AX334" s="186"/>
      <c r="AY334" s="186"/>
      <c r="AZ334" s="186"/>
      <c r="BA334" s="186"/>
      <c r="BB334" s="186"/>
      <c r="BC334" s="186"/>
      <c r="BD334" s="186"/>
      <c r="BE334" s="186"/>
      <c r="BF334" s="150"/>
      <c r="BG334" s="150"/>
    </row>
    <row r="335" spans="3:64" ht="14.6">
      <c r="C335" s="289"/>
      <c r="D335" s="150"/>
      <c r="E335" s="150"/>
      <c r="F335" s="150"/>
      <c r="G335" s="150"/>
      <c r="H335" s="150"/>
      <c r="I335" s="150"/>
      <c r="J335" s="150"/>
      <c r="K335" s="150"/>
      <c r="L335" s="150"/>
      <c r="M335" s="150"/>
      <c r="N335" s="150"/>
      <c r="O335" s="150"/>
      <c r="P335" s="150"/>
      <c r="Q335" s="150"/>
      <c r="R335" s="150"/>
      <c r="S335" s="150"/>
      <c r="T335" s="186"/>
      <c r="U335" s="186"/>
      <c r="V335" s="186"/>
      <c r="W335" s="186"/>
      <c r="X335" s="186"/>
      <c r="Y335" s="186"/>
      <c r="Z335" s="186"/>
      <c r="AA335" s="186"/>
      <c r="AB335" s="186"/>
      <c r="AC335" s="186"/>
      <c r="AD335" s="186"/>
      <c r="AF335" s="150"/>
      <c r="AG335" s="150"/>
      <c r="AH335" s="150"/>
      <c r="AI335" s="150"/>
      <c r="AJ335" s="150"/>
      <c r="AK335" s="150"/>
      <c r="AL335" s="150"/>
      <c r="AM335" s="150"/>
      <c r="AN335" s="150"/>
      <c r="AO335" s="150"/>
      <c r="AP335" s="150"/>
      <c r="AQ335" s="150"/>
      <c r="AT335" s="186"/>
      <c r="AU335" s="186"/>
      <c r="AV335" s="186"/>
      <c r="AW335" s="186"/>
      <c r="AX335" s="186"/>
      <c r="AY335" s="186"/>
      <c r="AZ335" s="186"/>
      <c r="BA335" s="186"/>
      <c r="BB335" s="186"/>
      <c r="BC335" s="186"/>
      <c r="BD335" s="186"/>
      <c r="BE335" s="186"/>
      <c r="BF335" s="150"/>
      <c r="BG335" s="150"/>
    </row>
    <row r="336" spans="3:64" ht="14.6">
      <c r="C336" s="289"/>
      <c r="D336" s="150"/>
      <c r="E336" s="150"/>
      <c r="F336" s="150"/>
      <c r="G336" s="150"/>
      <c r="H336" s="150"/>
      <c r="I336" s="150"/>
      <c r="J336" s="150"/>
      <c r="K336" s="150"/>
      <c r="L336" s="150"/>
      <c r="M336" s="150"/>
      <c r="N336" s="150"/>
      <c r="O336" s="150"/>
      <c r="P336" s="150"/>
      <c r="Q336" s="150"/>
      <c r="R336" s="150"/>
      <c r="S336" s="150"/>
      <c r="T336" s="186"/>
      <c r="U336" s="186"/>
      <c r="V336" s="186"/>
      <c r="W336" s="186"/>
      <c r="X336" s="186"/>
      <c r="Y336" s="186"/>
      <c r="Z336" s="186"/>
      <c r="AA336" s="186"/>
      <c r="AB336" s="186"/>
      <c r="AC336" s="186"/>
      <c r="AD336" s="186"/>
      <c r="AF336" s="150"/>
      <c r="AG336" s="150"/>
      <c r="AH336" s="150"/>
      <c r="AI336" s="150"/>
      <c r="AJ336" s="150"/>
      <c r="AK336" s="150"/>
      <c r="AL336" s="150"/>
      <c r="AM336" s="150"/>
      <c r="AN336" s="150"/>
      <c r="AO336" s="150"/>
      <c r="AP336" s="150"/>
      <c r="AQ336" s="150"/>
      <c r="AT336" s="186"/>
      <c r="AU336" s="186"/>
      <c r="AV336" s="186"/>
      <c r="AW336" s="186"/>
      <c r="AX336" s="186"/>
      <c r="AY336" s="186"/>
      <c r="AZ336" s="186"/>
      <c r="BA336" s="186"/>
      <c r="BB336" s="186"/>
      <c r="BC336" s="186"/>
      <c r="BD336" s="186"/>
      <c r="BE336" s="186"/>
      <c r="BF336" s="150"/>
      <c r="BG336" s="150"/>
    </row>
    <row r="337" spans="3:59" ht="14.6">
      <c r="C337" s="289"/>
      <c r="D337" s="150"/>
      <c r="E337" s="150"/>
      <c r="F337" s="150"/>
      <c r="G337" s="150"/>
      <c r="H337" s="150"/>
      <c r="I337" s="150"/>
      <c r="J337" s="150"/>
      <c r="K337" s="150"/>
      <c r="L337" s="150"/>
      <c r="M337" s="150"/>
      <c r="N337" s="150"/>
      <c r="O337" s="150"/>
      <c r="P337" s="150"/>
      <c r="Q337" s="150"/>
      <c r="R337" s="150"/>
      <c r="S337" s="150"/>
      <c r="T337" s="186"/>
      <c r="U337" s="186"/>
      <c r="V337" s="186"/>
      <c r="W337" s="186"/>
      <c r="X337" s="186"/>
      <c r="Y337" s="186"/>
      <c r="Z337" s="186"/>
      <c r="AA337" s="186"/>
      <c r="AB337" s="186"/>
      <c r="AC337" s="186"/>
      <c r="AD337" s="186"/>
      <c r="AF337" s="150"/>
      <c r="AG337" s="150"/>
      <c r="AH337" s="150"/>
      <c r="AI337" s="150"/>
      <c r="AJ337" s="150"/>
      <c r="AK337" s="150"/>
      <c r="AL337" s="150"/>
      <c r="AM337" s="150"/>
      <c r="AN337" s="150"/>
      <c r="AO337" s="150"/>
      <c r="AP337" s="150"/>
      <c r="AQ337" s="150"/>
      <c r="AT337" s="186"/>
      <c r="AU337" s="186"/>
      <c r="AV337" s="186"/>
      <c r="AW337" s="186"/>
      <c r="AX337" s="186"/>
      <c r="AY337" s="186"/>
      <c r="AZ337" s="186"/>
      <c r="BA337" s="186"/>
      <c r="BB337" s="186"/>
      <c r="BC337" s="186"/>
      <c r="BD337" s="186"/>
      <c r="BE337" s="186"/>
      <c r="BF337" s="150"/>
      <c r="BG337" s="150"/>
    </row>
    <row r="338" spans="3:59" ht="14.6">
      <c r="C338" s="289"/>
      <c r="D338" s="150"/>
      <c r="E338" s="150"/>
      <c r="F338" s="150"/>
      <c r="G338" s="150"/>
      <c r="H338" s="150"/>
      <c r="I338" s="150"/>
      <c r="J338" s="150"/>
      <c r="K338" s="150"/>
      <c r="L338" s="150"/>
      <c r="M338" s="150"/>
      <c r="N338" s="150"/>
      <c r="O338" s="150"/>
      <c r="P338" s="150"/>
      <c r="Q338" s="150"/>
      <c r="R338" s="150"/>
      <c r="S338" s="150"/>
      <c r="T338" s="186"/>
      <c r="U338" s="186"/>
      <c r="V338" s="186"/>
      <c r="W338" s="186"/>
      <c r="X338" s="186"/>
      <c r="Y338" s="186"/>
      <c r="Z338" s="186"/>
      <c r="AA338" s="186"/>
      <c r="AB338" s="186"/>
      <c r="AC338" s="186"/>
      <c r="AD338" s="186"/>
      <c r="AF338" s="150"/>
      <c r="AG338" s="150"/>
      <c r="AH338" s="150"/>
      <c r="AI338" s="150"/>
      <c r="AJ338" s="150"/>
      <c r="AK338" s="150"/>
      <c r="AL338" s="150"/>
      <c r="AM338" s="150"/>
      <c r="AN338" s="150"/>
      <c r="AO338" s="150"/>
      <c r="AP338" s="150"/>
      <c r="AQ338" s="150"/>
      <c r="AT338" s="186"/>
      <c r="AU338" s="186"/>
      <c r="AV338" s="186"/>
      <c r="AW338" s="186"/>
      <c r="AX338" s="186"/>
      <c r="AY338" s="186"/>
      <c r="AZ338" s="186"/>
      <c r="BA338" s="186"/>
      <c r="BB338" s="186"/>
      <c r="BC338" s="186"/>
      <c r="BD338" s="186"/>
      <c r="BE338" s="186"/>
      <c r="BF338" s="150"/>
      <c r="BG338" s="150"/>
    </row>
    <row r="339" spans="3:59" ht="14.6">
      <c r="C339" s="289"/>
      <c r="D339" s="150"/>
      <c r="E339" s="150"/>
      <c r="F339" s="150"/>
      <c r="G339" s="150"/>
      <c r="H339" s="150"/>
      <c r="I339" s="150"/>
      <c r="J339" s="150"/>
      <c r="K339" s="150"/>
      <c r="L339" s="150"/>
      <c r="M339" s="150"/>
      <c r="N339" s="150"/>
      <c r="O339" s="150"/>
      <c r="P339" s="150"/>
      <c r="Q339" s="150"/>
      <c r="R339" s="150"/>
      <c r="S339" s="150"/>
      <c r="T339" s="186"/>
      <c r="U339" s="186"/>
      <c r="V339" s="186"/>
      <c r="W339" s="186"/>
      <c r="X339" s="186"/>
      <c r="Y339" s="186"/>
      <c r="Z339" s="186"/>
      <c r="AA339" s="186"/>
      <c r="AB339" s="186"/>
      <c r="AC339" s="186"/>
      <c r="AD339" s="186"/>
      <c r="AF339" s="150"/>
      <c r="AG339" s="150"/>
      <c r="AH339" s="150"/>
      <c r="AI339" s="150"/>
      <c r="AJ339" s="150"/>
      <c r="AK339" s="150"/>
      <c r="AL339" s="150"/>
      <c r="AM339" s="150"/>
      <c r="AN339" s="150"/>
      <c r="AO339" s="150"/>
      <c r="AP339" s="150"/>
      <c r="AQ339" s="150"/>
      <c r="AT339" s="186"/>
      <c r="AU339" s="186"/>
      <c r="AV339" s="186"/>
      <c r="AW339" s="186"/>
      <c r="AX339" s="186"/>
      <c r="AY339" s="186"/>
      <c r="AZ339" s="186"/>
      <c r="BA339" s="186"/>
      <c r="BB339" s="186"/>
      <c r="BC339" s="186"/>
      <c r="BD339" s="186"/>
      <c r="BE339" s="186"/>
      <c r="BF339" s="150"/>
      <c r="BG339" s="150"/>
    </row>
    <row r="340" spans="3:59" ht="14.6">
      <c r="C340" s="289"/>
      <c r="D340" s="150"/>
      <c r="E340" s="150"/>
      <c r="F340" s="150"/>
      <c r="G340" s="150"/>
      <c r="H340" s="150"/>
      <c r="I340" s="150"/>
      <c r="J340" s="150"/>
      <c r="K340" s="150"/>
      <c r="L340" s="150"/>
      <c r="M340" s="150"/>
      <c r="N340" s="150"/>
      <c r="O340" s="150"/>
      <c r="P340" s="150"/>
      <c r="Q340" s="150"/>
      <c r="R340" s="150"/>
      <c r="S340" s="150"/>
      <c r="T340" s="186"/>
      <c r="U340" s="186"/>
      <c r="V340" s="186"/>
      <c r="W340" s="186"/>
      <c r="X340" s="186"/>
      <c r="Y340" s="186"/>
      <c r="Z340" s="186"/>
      <c r="AA340" s="186"/>
      <c r="AB340" s="186"/>
      <c r="AC340" s="186"/>
      <c r="AD340" s="186"/>
      <c r="AF340" s="150"/>
      <c r="AG340" s="150"/>
      <c r="AH340" s="150"/>
      <c r="AI340" s="150"/>
      <c r="AJ340" s="150"/>
      <c r="AK340" s="150"/>
      <c r="AL340" s="150"/>
      <c r="AM340" s="150"/>
      <c r="AN340" s="150"/>
      <c r="AO340" s="150"/>
      <c r="AP340" s="150"/>
      <c r="AQ340" s="150"/>
      <c r="AT340" s="186"/>
      <c r="AU340" s="186"/>
      <c r="AV340" s="186"/>
      <c r="AW340" s="186"/>
      <c r="AX340" s="186"/>
      <c r="AY340" s="186"/>
      <c r="AZ340" s="186"/>
      <c r="BA340" s="186"/>
      <c r="BB340" s="186"/>
      <c r="BC340" s="186"/>
      <c r="BD340" s="186"/>
      <c r="BE340" s="186"/>
      <c r="BF340" s="150"/>
      <c r="BG340" s="150"/>
    </row>
    <row r="341" spans="3:59" ht="14.6">
      <c r="C341" s="289"/>
      <c r="D341" s="150"/>
      <c r="E341" s="150"/>
      <c r="F341" s="150"/>
      <c r="G341" s="150"/>
      <c r="H341" s="150"/>
      <c r="I341" s="150"/>
      <c r="J341" s="150"/>
      <c r="K341" s="150"/>
      <c r="L341" s="150"/>
      <c r="M341" s="150"/>
      <c r="N341" s="150"/>
      <c r="O341" s="150"/>
      <c r="P341" s="150"/>
      <c r="Q341" s="150"/>
      <c r="R341" s="150"/>
      <c r="S341" s="150"/>
      <c r="T341" s="186"/>
      <c r="U341" s="186"/>
      <c r="V341" s="186"/>
      <c r="W341" s="186"/>
      <c r="X341" s="186"/>
      <c r="Y341" s="186"/>
      <c r="Z341" s="186"/>
      <c r="AA341" s="186"/>
      <c r="AB341" s="186"/>
      <c r="AC341" s="186"/>
      <c r="AD341" s="186"/>
      <c r="AF341" s="150"/>
      <c r="AG341" s="150"/>
      <c r="AH341" s="150"/>
      <c r="AI341" s="150"/>
      <c r="AJ341" s="150"/>
      <c r="AK341" s="150"/>
      <c r="AL341" s="150"/>
      <c r="AM341" s="150"/>
      <c r="AN341" s="150"/>
      <c r="AO341" s="150"/>
      <c r="AP341" s="150"/>
      <c r="AQ341" s="150"/>
      <c r="AT341" s="186"/>
      <c r="AU341" s="186"/>
      <c r="AV341" s="186"/>
      <c r="AW341" s="186"/>
      <c r="AX341" s="186"/>
      <c r="AY341" s="186"/>
      <c r="AZ341" s="186"/>
      <c r="BA341" s="186"/>
      <c r="BB341" s="186"/>
      <c r="BC341" s="186"/>
      <c r="BD341" s="186"/>
      <c r="BE341" s="186"/>
      <c r="BF341" s="150"/>
      <c r="BG341" s="150"/>
    </row>
    <row r="342" spans="3:59" ht="14.6">
      <c r="C342" s="289"/>
      <c r="D342" s="150"/>
      <c r="E342" s="150"/>
      <c r="F342" s="150"/>
      <c r="G342" s="150"/>
      <c r="H342" s="150"/>
      <c r="I342" s="150"/>
      <c r="J342" s="150"/>
      <c r="K342" s="150"/>
      <c r="L342" s="150"/>
      <c r="M342" s="150"/>
      <c r="N342" s="150"/>
      <c r="O342" s="150"/>
      <c r="P342" s="150"/>
      <c r="Q342" s="150"/>
      <c r="R342" s="150"/>
      <c r="S342" s="150"/>
      <c r="T342" s="186"/>
      <c r="U342" s="186"/>
      <c r="V342" s="186"/>
      <c r="W342" s="186"/>
      <c r="X342" s="186"/>
      <c r="Y342" s="186"/>
      <c r="Z342" s="186"/>
      <c r="AA342" s="186"/>
      <c r="AB342" s="186"/>
      <c r="AC342" s="186"/>
      <c r="AD342" s="186"/>
      <c r="AF342" s="150"/>
      <c r="AG342" s="150"/>
      <c r="AH342" s="150"/>
      <c r="AI342" s="150"/>
      <c r="AJ342" s="150"/>
      <c r="AK342" s="150"/>
      <c r="AL342" s="150"/>
      <c r="AM342" s="150"/>
      <c r="AN342" s="150"/>
      <c r="AO342" s="150"/>
      <c r="AP342" s="150"/>
      <c r="AQ342" s="150"/>
      <c r="AT342" s="186"/>
      <c r="AU342" s="186"/>
      <c r="AV342" s="186"/>
      <c r="AW342" s="186"/>
      <c r="AX342" s="186"/>
      <c r="AY342" s="186"/>
      <c r="AZ342" s="186"/>
      <c r="BA342" s="186"/>
      <c r="BB342" s="186"/>
      <c r="BC342" s="186"/>
      <c r="BD342" s="186"/>
      <c r="BE342" s="186"/>
      <c r="BF342" s="150"/>
      <c r="BG342" s="150"/>
    </row>
    <row r="343" spans="3:59" ht="14.6">
      <c r="C343" s="289"/>
      <c r="D343" s="150"/>
      <c r="E343" s="150"/>
      <c r="F343" s="150"/>
      <c r="G343" s="150"/>
      <c r="H343" s="150"/>
      <c r="I343" s="150"/>
      <c r="J343" s="150"/>
      <c r="K343" s="150"/>
      <c r="L343" s="150"/>
      <c r="M343" s="150"/>
      <c r="N343" s="150"/>
      <c r="O343" s="150"/>
      <c r="P343" s="150"/>
      <c r="Q343" s="150"/>
      <c r="R343" s="150"/>
      <c r="S343" s="150"/>
      <c r="T343" s="186"/>
      <c r="U343" s="186"/>
      <c r="V343" s="186"/>
      <c r="W343" s="186"/>
      <c r="X343" s="186"/>
      <c r="Y343" s="186"/>
      <c r="Z343" s="186"/>
      <c r="AA343" s="186"/>
      <c r="AB343" s="186"/>
      <c r="AC343" s="186"/>
      <c r="AD343" s="186"/>
      <c r="AF343" s="150"/>
      <c r="AG343" s="150"/>
      <c r="AH343" s="150"/>
      <c r="AI343" s="150"/>
      <c r="AJ343" s="150"/>
      <c r="AK343" s="150"/>
      <c r="AL343" s="150"/>
      <c r="AM343" s="150"/>
      <c r="AN343" s="150"/>
      <c r="AO343" s="150"/>
      <c r="AP343" s="150"/>
      <c r="AQ343" s="150"/>
      <c r="AT343" s="186"/>
      <c r="AU343" s="186"/>
      <c r="AV343" s="186"/>
      <c r="AW343" s="186"/>
      <c r="AX343" s="186"/>
      <c r="AY343" s="186"/>
      <c r="AZ343" s="186"/>
      <c r="BA343" s="186"/>
      <c r="BB343" s="186"/>
      <c r="BC343" s="186"/>
      <c r="BD343" s="186"/>
      <c r="BE343" s="186"/>
      <c r="BF343" s="150"/>
      <c r="BG343" s="150"/>
    </row>
    <row r="344" spans="3:59" ht="14.6">
      <c r="C344" s="289"/>
      <c r="D344" s="150"/>
      <c r="E344" s="150"/>
      <c r="F344" s="150"/>
      <c r="G344" s="150"/>
      <c r="H344" s="150"/>
      <c r="I344" s="150"/>
      <c r="J344" s="150"/>
      <c r="K344" s="150"/>
      <c r="L344" s="150"/>
      <c r="M344" s="150"/>
      <c r="N344" s="150"/>
      <c r="O344" s="150"/>
      <c r="P344" s="150"/>
      <c r="Q344" s="150"/>
      <c r="R344" s="150"/>
      <c r="S344" s="150"/>
      <c r="T344" s="186"/>
      <c r="U344" s="186"/>
      <c r="V344" s="186"/>
      <c r="W344" s="186"/>
      <c r="X344" s="186"/>
      <c r="Y344" s="186"/>
      <c r="Z344" s="186"/>
      <c r="AA344" s="186"/>
      <c r="AB344" s="186"/>
      <c r="AC344" s="186"/>
      <c r="AD344" s="186"/>
      <c r="AF344" s="150"/>
      <c r="AG344" s="150"/>
      <c r="AH344" s="150"/>
      <c r="AI344" s="150"/>
      <c r="AJ344" s="150"/>
      <c r="AK344" s="150"/>
      <c r="AL344" s="150"/>
      <c r="AM344" s="150"/>
      <c r="AN344" s="150"/>
      <c r="AO344" s="150"/>
      <c r="AP344" s="150"/>
      <c r="AQ344" s="150"/>
      <c r="AT344" s="186"/>
      <c r="AU344" s="186"/>
      <c r="AV344" s="186"/>
      <c r="AW344" s="186"/>
      <c r="AX344" s="186"/>
      <c r="AY344" s="186"/>
      <c r="AZ344" s="186"/>
      <c r="BA344" s="186"/>
      <c r="BB344" s="186"/>
      <c r="BC344" s="186"/>
      <c r="BD344" s="186"/>
      <c r="BE344" s="186"/>
      <c r="BF344" s="150"/>
      <c r="BG344" s="150"/>
    </row>
    <row r="345" spans="3:59" ht="14.6">
      <c r="C345" s="289"/>
      <c r="D345" s="150"/>
      <c r="E345" s="150"/>
      <c r="F345" s="150"/>
      <c r="G345" s="150"/>
      <c r="H345" s="150"/>
      <c r="I345" s="150"/>
      <c r="J345" s="150"/>
      <c r="K345" s="150"/>
      <c r="L345" s="150"/>
      <c r="M345" s="150"/>
      <c r="N345" s="150"/>
      <c r="O345" s="150"/>
      <c r="P345" s="150"/>
      <c r="Q345" s="150"/>
      <c r="R345" s="150"/>
      <c r="S345" s="150"/>
      <c r="T345" s="186"/>
      <c r="U345" s="186"/>
      <c r="V345" s="186"/>
      <c r="W345" s="186"/>
      <c r="X345" s="186"/>
      <c r="Y345" s="186"/>
      <c r="Z345" s="186"/>
      <c r="AA345" s="186"/>
      <c r="AB345" s="186"/>
      <c r="AC345" s="186"/>
      <c r="AD345" s="186"/>
      <c r="AF345" s="150"/>
      <c r="AG345" s="150"/>
      <c r="AH345" s="150"/>
      <c r="AI345" s="150"/>
      <c r="AJ345" s="150"/>
      <c r="AK345" s="150"/>
      <c r="AL345" s="150"/>
      <c r="AM345" s="150"/>
      <c r="AN345" s="150"/>
      <c r="AO345" s="150"/>
      <c r="AP345" s="150"/>
      <c r="AQ345" s="150"/>
      <c r="AT345" s="186"/>
      <c r="AU345" s="186"/>
      <c r="AV345" s="186"/>
      <c r="AW345" s="186"/>
      <c r="AX345" s="186"/>
      <c r="AY345" s="186"/>
      <c r="AZ345" s="186"/>
      <c r="BA345" s="186"/>
      <c r="BB345" s="186"/>
      <c r="BC345" s="186"/>
      <c r="BD345" s="186"/>
      <c r="BE345" s="186"/>
      <c r="BF345" s="150"/>
      <c r="BG345" s="150"/>
    </row>
    <row r="346" spans="3:59" ht="14.6">
      <c r="C346" s="289"/>
      <c r="D346" s="150"/>
      <c r="E346" s="150"/>
      <c r="F346" s="150"/>
      <c r="G346" s="150"/>
      <c r="H346" s="150"/>
      <c r="I346" s="150"/>
      <c r="J346" s="150"/>
      <c r="K346" s="150"/>
      <c r="L346" s="150"/>
      <c r="M346" s="150"/>
      <c r="N346" s="150"/>
      <c r="O346" s="150"/>
      <c r="P346" s="150"/>
      <c r="Q346" s="150"/>
      <c r="R346" s="150"/>
      <c r="S346" s="150"/>
      <c r="T346" s="186"/>
      <c r="U346" s="186"/>
      <c r="V346" s="186"/>
      <c r="W346" s="186"/>
      <c r="X346" s="186"/>
      <c r="Y346" s="186"/>
      <c r="Z346" s="186"/>
      <c r="AA346" s="186"/>
      <c r="AB346" s="186"/>
      <c r="AC346" s="186"/>
      <c r="AD346" s="186"/>
      <c r="AF346" s="150"/>
      <c r="AG346" s="150"/>
      <c r="AH346" s="150"/>
      <c r="AI346" s="150"/>
      <c r="AJ346" s="150"/>
      <c r="AK346" s="150"/>
      <c r="AL346" s="150"/>
      <c r="AM346" s="150"/>
      <c r="AN346" s="150"/>
      <c r="AO346" s="150"/>
      <c r="AP346" s="150"/>
      <c r="AQ346" s="150"/>
      <c r="AT346" s="186"/>
      <c r="AU346" s="186"/>
      <c r="AV346" s="186"/>
      <c r="AW346" s="186"/>
      <c r="AX346" s="186"/>
      <c r="AY346" s="186"/>
      <c r="AZ346" s="186"/>
      <c r="BA346" s="186"/>
      <c r="BB346" s="186"/>
      <c r="BC346" s="186"/>
      <c r="BD346" s="186"/>
      <c r="BE346" s="186"/>
      <c r="BF346" s="150"/>
      <c r="BG346" s="150"/>
    </row>
    <row r="347" spans="3:59" ht="14.6">
      <c r="C347" s="289"/>
      <c r="D347" s="150"/>
      <c r="E347" s="150"/>
      <c r="F347" s="150"/>
      <c r="G347" s="150"/>
      <c r="H347" s="150"/>
      <c r="I347" s="150"/>
      <c r="J347" s="150"/>
      <c r="K347" s="150"/>
      <c r="L347" s="150"/>
      <c r="M347" s="150"/>
      <c r="N347" s="150"/>
      <c r="O347" s="150"/>
      <c r="P347" s="150"/>
      <c r="Q347" s="150"/>
      <c r="R347" s="150"/>
      <c r="S347" s="150"/>
      <c r="T347" s="186"/>
      <c r="U347" s="186"/>
      <c r="V347" s="186"/>
      <c r="W347" s="186"/>
      <c r="X347" s="186"/>
      <c r="Y347" s="186"/>
      <c r="Z347" s="186"/>
      <c r="AA347" s="186"/>
      <c r="AB347" s="186"/>
      <c r="AC347" s="186"/>
      <c r="AD347" s="186"/>
      <c r="AF347" s="150"/>
      <c r="AG347" s="150"/>
      <c r="AH347" s="150"/>
      <c r="AI347" s="150"/>
      <c r="AJ347" s="150"/>
      <c r="AK347" s="150"/>
      <c r="AL347" s="150"/>
      <c r="AM347" s="150"/>
      <c r="AN347" s="150"/>
      <c r="AO347" s="150"/>
      <c r="AP347" s="150"/>
      <c r="AQ347" s="150"/>
      <c r="AT347" s="186"/>
      <c r="AU347" s="186"/>
      <c r="AV347" s="186"/>
      <c r="AW347" s="186"/>
      <c r="AX347" s="186"/>
      <c r="AY347" s="186"/>
      <c r="AZ347" s="186"/>
      <c r="BA347" s="186"/>
      <c r="BB347" s="186"/>
      <c r="BC347" s="186"/>
      <c r="BD347" s="186"/>
      <c r="BE347" s="186"/>
      <c r="BF347" s="150"/>
      <c r="BG347" s="150"/>
    </row>
    <row r="348" spans="3:59" ht="14.6">
      <c r="C348" s="289"/>
      <c r="D348" s="150"/>
      <c r="E348" s="150"/>
      <c r="F348" s="150"/>
      <c r="G348" s="150"/>
      <c r="H348" s="150"/>
      <c r="I348" s="150"/>
      <c r="J348" s="150"/>
      <c r="K348" s="150"/>
      <c r="L348" s="150"/>
      <c r="M348" s="150"/>
      <c r="N348" s="150"/>
      <c r="O348" s="150"/>
      <c r="P348" s="150"/>
      <c r="Q348" s="150"/>
      <c r="R348" s="150"/>
      <c r="S348" s="150"/>
      <c r="T348" s="186"/>
      <c r="U348" s="186"/>
      <c r="V348" s="186"/>
      <c r="W348" s="186"/>
      <c r="X348" s="186"/>
      <c r="Y348" s="186"/>
      <c r="Z348" s="186"/>
      <c r="AA348" s="186"/>
      <c r="AB348" s="186"/>
      <c r="AC348" s="186"/>
      <c r="AD348" s="186"/>
      <c r="AF348" s="150"/>
      <c r="AG348" s="150"/>
      <c r="AH348" s="150"/>
      <c r="AI348" s="150"/>
      <c r="AJ348" s="150"/>
      <c r="AK348" s="150"/>
      <c r="AL348" s="150"/>
      <c r="AM348" s="150"/>
      <c r="AN348" s="150"/>
      <c r="AO348" s="150"/>
      <c r="AP348" s="150"/>
      <c r="AQ348" s="150"/>
      <c r="AT348" s="186"/>
      <c r="AU348" s="186"/>
      <c r="AV348" s="186"/>
      <c r="AW348" s="186"/>
      <c r="AX348" s="186"/>
      <c r="AY348" s="186"/>
      <c r="AZ348" s="186"/>
      <c r="BA348" s="186"/>
      <c r="BB348" s="186"/>
      <c r="BC348" s="186"/>
      <c r="BD348" s="186"/>
      <c r="BE348" s="186"/>
      <c r="BF348" s="150"/>
      <c r="BG348" s="150"/>
    </row>
    <row r="349" spans="3:59" ht="14.6">
      <c r="C349" s="289"/>
      <c r="D349" s="150"/>
      <c r="E349" s="150"/>
      <c r="F349" s="150"/>
      <c r="G349" s="150"/>
      <c r="H349" s="150"/>
      <c r="I349" s="150"/>
      <c r="J349" s="150"/>
      <c r="K349" s="150"/>
      <c r="L349" s="150"/>
      <c r="M349" s="150"/>
      <c r="N349" s="150"/>
      <c r="O349" s="150"/>
      <c r="P349" s="150"/>
      <c r="Q349" s="150"/>
      <c r="R349" s="150"/>
      <c r="S349" s="150"/>
      <c r="T349" s="186"/>
      <c r="U349" s="186"/>
      <c r="V349" s="186"/>
      <c r="W349" s="186"/>
      <c r="X349" s="186"/>
      <c r="Y349" s="186"/>
      <c r="Z349" s="186"/>
      <c r="AA349" s="186"/>
      <c r="AB349" s="186"/>
      <c r="AC349" s="186"/>
      <c r="AD349" s="186"/>
      <c r="AF349" s="150"/>
      <c r="AG349" s="150"/>
      <c r="AH349" s="150"/>
      <c r="AI349" s="150"/>
      <c r="AJ349" s="150"/>
      <c r="AK349" s="150"/>
      <c r="AL349" s="150"/>
      <c r="AM349" s="150"/>
      <c r="AN349" s="150"/>
      <c r="AO349" s="150"/>
      <c r="AP349" s="150"/>
      <c r="AQ349" s="150"/>
      <c r="AT349" s="186"/>
      <c r="AU349" s="186"/>
      <c r="AV349" s="186"/>
      <c r="AW349" s="186"/>
      <c r="AX349" s="186"/>
      <c r="AY349" s="186"/>
      <c r="AZ349" s="186"/>
      <c r="BA349" s="186"/>
      <c r="BB349" s="186"/>
      <c r="BC349" s="186"/>
      <c r="BD349" s="186"/>
      <c r="BE349" s="186"/>
      <c r="BF349" s="150"/>
      <c r="BG349" s="150"/>
    </row>
    <row r="350" spans="3:59" ht="14.6">
      <c r="C350" s="289"/>
      <c r="D350" s="150"/>
      <c r="E350" s="150"/>
      <c r="F350" s="150"/>
      <c r="G350" s="150"/>
      <c r="H350" s="150"/>
      <c r="I350" s="150"/>
      <c r="J350" s="150"/>
      <c r="K350" s="150"/>
      <c r="L350" s="150"/>
      <c r="M350" s="150"/>
      <c r="N350" s="150"/>
      <c r="O350" s="150"/>
      <c r="P350" s="150"/>
      <c r="Q350" s="150"/>
      <c r="R350" s="150"/>
      <c r="S350" s="150"/>
      <c r="T350" s="186"/>
      <c r="U350" s="186"/>
      <c r="V350" s="186"/>
      <c r="W350" s="186"/>
      <c r="X350" s="186"/>
      <c r="Y350" s="186"/>
      <c r="Z350" s="186"/>
      <c r="AA350" s="186"/>
      <c r="AB350" s="186"/>
      <c r="AC350" s="186"/>
      <c r="AD350" s="186"/>
      <c r="AF350" s="150"/>
      <c r="AG350" s="150"/>
      <c r="AH350" s="150"/>
      <c r="AI350" s="150"/>
      <c r="AJ350" s="150"/>
      <c r="AK350" s="150"/>
      <c r="AL350" s="150"/>
      <c r="AM350" s="150"/>
      <c r="AN350" s="150"/>
      <c r="AO350" s="150"/>
      <c r="AP350" s="150"/>
      <c r="AQ350" s="150"/>
      <c r="AT350" s="186"/>
      <c r="AU350" s="186"/>
      <c r="AV350" s="186"/>
      <c r="AW350" s="186"/>
      <c r="AX350" s="186"/>
      <c r="AY350" s="186"/>
      <c r="AZ350" s="186"/>
      <c r="BA350" s="186"/>
      <c r="BB350" s="186"/>
      <c r="BC350" s="186"/>
      <c r="BD350" s="186"/>
      <c r="BE350" s="186"/>
      <c r="BF350" s="150"/>
      <c r="BG350" s="150"/>
    </row>
    <row r="351" spans="3:59" ht="14.6">
      <c r="C351" s="289"/>
      <c r="D351" s="150"/>
      <c r="E351" s="150"/>
      <c r="F351" s="150"/>
      <c r="G351" s="150"/>
      <c r="H351" s="150"/>
      <c r="I351" s="150"/>
      <c r="J351" s="150"/>
      <c r="K351" s="150"/>
      <c r="L351" s="150"/>
      <c r="M351" s="150"/>
      <c r="N351" s="150"/>
      <c r="O351" s="150"/>
      <c r="P351" s="150"/>
      <c r="Q351" s="150"/>
      <c r="R351" s="150"/>
      <c r="S351" s="150"/>
      <c r="T351" s="186"/>
      <c r="U351" s="186"/>
      <c r="V351" s="186"/>
      <c r="W351" s="186"/>
      <c r="X351" s="186"/>
      <c r="Y351" s="186"/>
      <c r="Z351" s="186"/>
      <c r="AA351" s="186"/>
      <c r="AB351" s="186"/>
      <c r="AC351" s="186"/>
      <c r="AD351" s="186"/>
      <c r="AF351" s="150"/>
      <c r="AG351" s="150"/>
      <c r="AH351" s="150"/>
      <c r="AI351" s="150"/>
      <c r="AJ351" s="150"/>
      <c r="AK351" s="150"/>
      <c r="AL351" s="150"/>
      <c r="AM351" s="150"/>
      <c r="AN351" s="150"/>
      <c r="AO351" s="150"/>
      <c r="AP351" s="150"/>
      <c r="AQ351" s="150"/>
      <c r="AT351" s="186"/>
      <c r="AU351" s="186"/>
      <c r="AV351" s="186"/>
      <c r="AW351" s="186"/>
      <c r="AX351" s="186"/>
      <c r="AY351" s="186"/>
      <c r="AZ351" s="186"/>
      <c r="BA351" s="186"/>
      <c r="BB351" s="186"/>
      <c r="BC351" s="186"/>
      <c r="BD351" s="186"/>
      <c r="BE351" s="186"/>
      <c r="BF351" s="150"/>
      <c r="BG351" s="150"/>
    </row>
    <row r="352" spans="3:59" ht="14.6">
      <c r="C352" s="289"/>
      <c r="D352" s="150"/>
      <c r="E352" s="150"/>
      <c r="F352" s="150"/>
      <c r="G352" s="150"/>
      <c r="H352" s="150"/>
      <c r="I352" s="150"/>
      <c r="J352" s="150"/>
      <c r="K352" s="150"/>
      <c r="L352" s="150"/>
      <c r="M352" s="150"/>
      <c r="N352" s="150"/>
      <c r="O352" s="150"/>
      <c r="P352" s="150"/>
      <c r="Q352" s="150"/>
      <c r="R352" s="150"/>
      <c r="S352" s="150"/>
      <c r="T352" s="186"/>
      <c r="U352" s="186"/>
      <c r="V352" s="186"/>
      <c r="W352" s="186"/>
      <c r="X352" s="186"/>
      <c r="Y352" s="186"/>
      <c r="Z352" s="186"/>
      <c r="AA352" s="186"/>
      <c r="AB352" s="186"/>
      <c r="AC352" s="186"/>
      <c r="AD352" s="186"/>
      <c r="AF352" s="150"/>
      <c r="AG352" s="150"/>
      <c r="AH352" s="150"/>
      <c r="AI352" s="150"/>
      <c r="AJ352" s="150"/>
      <c r="AK352" s="150"/>
      <c r="AL352" s="150"/>
      <c r="AM352" s="150"/>
      <c r="AN352" s="150"/>
      <c r="AO352" s="150"/>
      <c r="AP352" s="150"/>
      <c r="AQ352" s="150"/>
      <c r="AT352" s="186"/>
      <c r="AU352" s="186"/>
      <c r="AV352" s="186"/>
      <c r="AW352" s="186"/>
      <c r="AX352" s="186"/>
      <c r="AY352" s="186"/>
      <c r="AZ352" s="186"/>
      <c r="BA352" s="186"/>
      <c r="BB352" s="186"/>
      <c r="BC352" s="186"/>
      <c r="BD352" s="186"/>
      <c r="BE352" s="186"/>
      <c r="BF352" s="150"/>
      <c r="BG352" s="150"/>
    </row>
    <row r="353" spans="3:59" ht="14.6">
      <c r="C353" s="289"/>
      <c r="D353" s="150"/>
      <c r="E353" s="150"/>
      <c r="F353" s="150"/>
      <c r="G353" s="150"/>
      <c r="H353" s="150"/>
      <c r="I353" s="150"/>
      <c r="J353" s="150"/>
      <c r="K353" s="150"/>
      <c r="L353" s="150"/>
      <c r="M353" s="150"/>
      <c r="N353" s="150"/>
      <c r="O353" s="150"/>
      <c r="P353" s="150"/>
      <c r="Q353" s="150"/>
      <c r="R353" s="150"/>
      <c r="S353" s="150"/>
      <c r="T353" s="186"/>
      <c r="U353" s="186"/>
      <c r="V353" s="186"/>
      <c r="W353" s="186"/>
      <c r="X353" s="186"/>
      <c r="Y353" s="186"/>
      <c r="Z353" s="186"/>
      <c r="AA353" s="186"/>
      <c r="AB353" s="186"/>
      <c r="AC353" s="186"/>
      <c r="AD353" s="186"/>
      <c r="AF353" s="150"/>
      <c r="AG353" s="150"/>
      <c r="AH353" s="150"/>
      <c r="AI353" s="150"/>
      <c r="AJ353" s="150"/>
      <c r="AK353" s="150"/>
      <c r="AL353" s="150"/>
      <c r="AM353" s="150"/>
      <c r="AN353" s="150"/>
      <c r="AO353" s="150"/>
      <c r="AP353" s="150"/>
      <c r="AQ353" s="150"/>
      <c r="AT353" s="186"/>
      <c r="AU353" s="186"/>
      <c r="AV353" s="186"/>
      <c r="AW353" s="186"/>
      <c r="AX353" s="186"/>
      <c r="AY353" s="186"/>
      <c r="AZ353" s="186"/>
      <c r="BA353" s="186"/>
      <c r="BB353" s="186"/>
      <c r="BC353" s="186"/>
      <c r="BD353" s="186"/>
      <c r="BE353" s="186"/>
      <c r="BF353" s="150"/>
      <c r="BG353" s="150"/>
    </row>
    <row r="354" spans="3:59" ht="14.6">
      <c r="C354" s="289"/>
      <c r="D354" s="150"/>
      <c r="E354" s="150"/>
      <c r="F354" s="150"/>
      <c r="G354" s="150"/>
      <c r="H354" s="150"/>
      <c r="I354" s="150"/>
      <c r="J354" s="150"/>
      <c r="K354" s="150"/>
      <c r="L354" s="150"/>
      <c r="M354" s="150"/>
      <c r="N354" s="150"/>
      <c r="O354" s="150"/>
      <c r="P354" s="150"/>
      <c r="Q354" s="150"/>
      <c r="R354" s="150"/>
      <c r="S354" s="150"/>
      <c r="T354" s="186"/>
      <c r="U354" s="186"/>
      <c r="V354" s="186"/>
      <c r="W354" s="186"/>
      <c r="X354" s="186"/>
      <c r="Y354" s="186"/>
      <c r="Z354" s="186"/>
      <c r="AA354" s="186"/>
      <c r="AB354" s="186"/>
      <c r="AC354" s="186"/>
      <c r="AD354" s="186"/>
      <c r="AF354" s="150"/>
      <c r="AG354" s="150"/>
      <c r="AH354" s="150"/>
      <c r="AI354" s="150"/>
      <c r="AJ354" s="150"/>
      <c r="AK354" s="150"/>
      <c r="AL354" s="150"/>
      <c r="AM354" s="150"/>
      <c r="AN354" s="150"/>
      <c r="AO354" s="150"/>
      <c r="AP354" s="150"/>
      <c r="AQ354" s="150"/>
      <c r="AT354" s="186"/>
      <c r="AU354" s="186"/>
      <c r="AV354" s="186"/>
      <c r="AW354" s="186"/>
      <c r="AX354" s="186"/>
      <c r="AY354" s="186"/>
      <c r="AZ354" s="186"/>
      <c r="BA354" s="186"/>
      <c r="BB354" s="186"/>
      <c r="BC354" s="186"/>
      <c r="BD354" s="186"/>
      <c r="BE354" s="186"/>
      <c r="BF354" s="150"/>
      <c r="BG354" s="150"/>
    </row>
    <row r="355" spans="3:59" ht="14.6">
      <c r="C355" s="289"/>
      <c r="D355" s="150"/>
      <c r="E355" s="150"/>
      <c r="F355" s="150"/>
      <c r="G355" s="150"/>
      <c r="H355" s="150"/>
      <c r="I355" s="150"/>
      <c r="J355" s="150"/>
      <c r="K355" s="150"/>
      <c r="L355" s="150"/>
      <c r="M355" s="150"/>
      <c r="N355" s="150"/>
      <c r="O355" s="150"/>
      <c r="P355" s="150"/>
      <c r="Q355" s="150"/>
      <c r="R355" s="150"/>
      <c r="S355" s="150"/>
      <c r="T355" s="186"/>
      <c r="U355" s="186"/>
      <c r="V355" s="186"/>
      <c r="W355" s="186"/>
      <c r="X355" s="186"/>
      <c r="Y355" s="186"/>
      <c r="Z355" s="186"/>
      <c r="AA355" s="186"/>
      <c r="AB355" s="186"/>
      <c r="AC355" s="186"/>
      <c r="AD355" s="186"/>
      <c r="AF355" s="150"/>
      <c r="AG355" s="150"/>
      <c r="AH355" s="150"/>
      <c r="AI355" s="150"/>
      <c r="AJ355" s="150"/>
      <c r="AK355" s="150"/>
      <c r="AL355" s="150"/>
      <c r="AM355" s="150"/>
      <c r="AN355" s="150"/>
      <c r="AO355" s="150"/>
      <c r="AP355" s="150"/>
      <c r="AQ355" s="150"/>
      <c r="AT355" s="186"/>
      <c r="AU355" s="186"/>
      <c r="AV355" s="186"/>
      <c r="AW355" s="186"/>
      <c r="AX355" s="186"/>
      <c r="AY355" s="186"/>
      <c r="AZ355" s="186"/>
      <c r="BA355" s="186"/>
      <c r="BB355" s="186"/>
      <c r="BC355" s="186"/>
      <c r="BD355" s="186"/>
      <c r="BE355" s="186"/>
      <c r="BF355" s="150"/>
      <c r="BG355" s="150"/>
    </row>
    <row r="356" spans="3:59" ht="14.6">
      <c r="C356" s="289"/>
      <c r="D356" s="150"/>
      <c r="E356" s="150"/>
      <c r="F356" s="150"/>
      <c r="G356" s="150"/>
      <c r="H356" s="150"/>
      <c r="I356" s="150"/>
      <c r="J356" s="150"/>
      <c r="K356" s="150"/>
      <c r="L356" s="150"/>
      <c r="M356" s="150"/>
      <c r="N356" s="150"/>
      <c r="O356" s="150"/>
      <c r="P356" s="150"/>
      <c r="Q356" s="150"/>
      <c r="R356" s="150"/>
      <c r="S356" s="150"/>
      <c r="T356" s="186"/>
      <c r="U356" s="186"/>
      <c r="V356" s="186"/>
      <c r="W356" s="186"/>
      <c r="X356" s="186"/>
      <c r="Y356" s="186"/>
      <c r="Z356" s="186"/>
      <c r="AA356" s="186"/>
      <c r="AB356" s="186"/>
      <c r="AC356" s="186"/>
      <c r="AD356" s="186"/>
      <c r="AF356" s="150"/>
      <c r="AG356" s="150"/>
      <c r="AH356" s="150"/>
      <c r="AI356" s="150"/>
      <c r="AJ356" s="150"/>
      <c r="AK356" s="150"/>
      <c r="AL356" s="150"/>
      <c r="AM356" s="150"/>
      <c r="AN356" s="150"/>
      <c r="AO356" s="150"/>
      <c r="AP356" s="150"/>
      <c r="AQ356" s="150"/>
      <c r="AT356" s="186"/>
      <c r="AU356" s="186"/>
      <c r="AV356" s="186"/>
      <c r="AW356" s="186"/>
      <c r="AX356" s="186"/>
      <c r="AY356" s="186"/>
      <c r="AZ356" s="186"/>
      <c r="BA356" s="186"/>
      <c r="BB356" s="186"/>
      <c r="BC356" s="186"/>
      <c r="BD356" s="186"/>
      <c r="BE356" s="186"/>
      <c r="BF356" s="150"/>
      <c r="BG356" s="150"/>
    </row>
    <row r="357" spans="3:59" ht="14.6">
      <c r="C357" s="289"/>
      <c r="D357" s="150"/>
      <c r="E357" s="150"/>
      <c r="F357" s="150"/>
      <c r="G357" s="150"/>
      <c r="H357" s="150"/>
      <c r="I357" s="150"/>
      <c r="J357" s="150"/>
      <c r="K357" s="150"/>
      <c r="L357" s="150"/>
      <c r="M357" s="150"/>
      <c r="N357" s="150"/>
      <c r="O357" s="150"/>
      <c r="P357" s="150"/>
      <c r="Q357" s="150"/>
      <c r="R357" s="150"/>
      <c r="S357" s="150"/>
      <c r="T357" s="186"/>
      <c r="U357" s="186"/>
      <c r="V357" s="186"/>
      <c r="W357" s="186"/>
      <c r="X357" s="186"/>
      <c r="Y357" s="186"/>
      <c r="Z357" s="186"/>
      <c r="AA357" s="186"/>
      <c r="AB357" s="186"/>
      <c r="AC357" s="186"/>
      <c r="AD357" s="186"/>
      <c r="AF357" s="150"/>
      <c r="AG357" s="150"/>
      <c r="AH357" s="150"/>
      <c r="AI357" s="150"/>
      <c r="AJ357" s="150"/>
      <c r="AK357" s="150"/>
      <c r="AL357" s="150"/>
      <c r="AM357" s="150"/>
      <c r="AN357" s="150"/>
      <c r="AO357" s="150"/>
      <c r="AP357" s="150"/>
      <c r="AQ357" s="150"/>
      <c r="AT357" s="186"/>
      <c r="AU357" s="186"/>
      <c r="AV357" s="186"/>
      <c r="AW357" s="186"/>
      <c r="AX357" s="186"/>
      <c r="AY357" s="186"/>
      <c r="AZ357" s="186"/>
      <c r="BA357" s="186"/>
      <c r="BB357" s="186"/>
      <c r="BC357" s="186"/>
      <c r="BD357" s="186"/>
      <c r="BE357" s="186"/>
      <c r="BF357" s="150"/>
      <c r="BG357" s="150"/>
    </row>
    <row r="358" spans="3:59" ht="14.6">
      <c r="C358" s="289"/>
      <c r="D358" s="150"/>
      <c r="E358" s="150"/>
      <c r="F358" s="150"/>
      <c r="G358" s="150"/>
      <c r="H358" s="150"/>
      <c r="I358" s="150"/>
      <c r="J358" s="150"/>
      <c r="K358" s="150"/>
      <c r="L358" s="150"/>
      <c r="M358" s="150"/>
      <c r="N358" s="150"/>
      <c r="O358" s="150"/>
      <c r="P358" s="150"/>
      <c r="Q358" s="150"/>
      <c r="R358" s="150"/>
      <c r="S358" s="150"/>
      <c r="T358" s="186"/>
      <c r="U358" s="186"/>
      <c r="V358" s="186"/>
      <c r="W358" s="186"/>
      <c r="X358" s="186"/>
      <c r="Y358" s="186"/>
      <c r="Z358" s="186"/>
      <c r="AA358" s="186"/>
      <c r="AB358" s="186"/>
      <c r="AC358" s="186"/>
      <c r="AD358" s="186"/>
      <c r="AF358" s="150"/>
      <c r="AG358" s="150"/>
      <c r="AH358" s="150"/>
      <c r="AI358" s="150"/>
      <c r="AJ358" s="150"/>
      <c r="AK358" s="150"/>
      <c r="AL358" s="150"/>
      <c r="AM358" s="150"/>
      <c r="AN358" s="150"/>
      <c r="AO358" s="150"/>
      <c r="AP358" s="150"/>
      <c r="AQ358" s="150"/>
      <c r="AT358" s="186"/>
      <c r="AU358" s="186"/>
      <c r="AV358" s="186"/>
      <c r="AW358" s="186"/>
      <c r="AX358" s="186"/>
      <c r="AY358" s="186"/>
      <c r="AZ358" s="186"/>
      <c r="BA358" s="186"/>
      <c r="BB358" s="186"/>
      <c r="BC358" s="186"/>
      <c r="BD358" s="186"/>
      <c r="BE358" s="186"/>
      <c r="BF358" s="150"/>
      <c r="BG358" s="150"/>
    </row>
    <row r="359" spans="3:59" ht="14.6">
      <c r="C359" s="289"/>
      <c r="D359" s="150"/>
      <c r="E359" s="150"/>
      <c r="F359" s="150"/>
      <c r="G359" s="150"/>
      <c r="H359" s="150"/>
      <c r="I359" s="150"/>
      <c r="J359" s="150"/>
      <c r="K359" s="150"/>
      <c r="L359" s="150"/>
      <c r="M359" s="150"/>
      <c r="N359" s="150"/>
      <c r="O359" s="150"/>
      <c r="P359" s="150"/>
      <c r="Q359" s="150"/>
      <c r="R359" s="150"/>
      <c r="S359" s="150"/>
      <c r="T359" s="186"/>
      <c r="U359" s="186"/>
      <c r="V359" s="186"/>
      <c r="W359" s="186"/>
      <c r="X359" s="186"/>
      <c r="Y359" s="186"/>
      <c r="Z359" s="186"/>
      <c r="AA359" s="186"/>
      <c r="AB359" s="186"/>
      <c r="AC359" s="186"/>
      <c r="AD359" s="186"/>
      <c r="AF359" s="150"/>
      <c r="AG359" s="150"/>
      <c r="AH359" s="150"/>
      <c r="AI359" s="150"/>
      <c r="AJ359" s="150"/>
      <c r="AK359" s="150"/>
      <c r="AL359" s="150"/>
      <c r="AM359" s="150"/>
      <c r="AN359" s="150"/>
      <c r="AO359" s="150"/>
      <c r="AP359" s="150"/>
      <c r="AQ359" s="150"/>
      <c r="AT359" s="186"/>
      <c r="AU359" s="186"/>
      <c r="AV359" s="186"/>
      <c r="AW359" s="186"/>
      <c r="AX359" s="186"/>
      <c r="AY359" s="186"/>
      <c r="AZ359" s="186"/>
      <c r="BA359" s="186"/>
      <c r="BB359" s="186"/>
      <c r="BC359" s="186"/>
      <c r="BD359" s="186"/>
      <c r="BE359" s="186"/>
      <c r="BF359" s="150"/>
      <c r="BG359" s="150"/>
    </row>
    <row r="360" spans="3:59" ht="14.6">
      <c r="C360" s="289"/>
      <c r="D360" s="150"/>
      <c r="E360" s="150"/>
      <c r="F360" s="150"/>
      <c r="G360" s="150"/>
      <c r="H360" s="150"/>
      <c r="I360" s="150"/>
      <c r="J360" s="150"/>
      <c r="K360" s="150"/>
      <c r="L360" s="150"/>
      <c r="M360" s="150"/>
      <c r="N360" s="150"/>
      <c r="O360" s="150"/>
      <c r="P360" s="150"/>
      <c r="Q360" s="150"/>
      <c r="R360" s="150"/>
      <c r="S360" s="150"/>
      <c r="T360" s="186"/>
      <c r="U360" s="186"/>
      <c r="V360" s="186"/>
      <c r="W360" s="186"/>
      <c r="X360" s="186"/>
      <c r="Y360" s="186"/>
      <c r="Z360" s="186"/>
      <c r="AA360" s="186"/>
      <c r="AB360" s="186"/>
      <c r="AC360" s="186"/>
      <c r="AD360" s="186"/>
      <c r="AF360" s="150"/>
      <c r="AG360" s="150"/>
      <c r="AH360" s="150"/>
      <c r="AI360" s="150"/>
      <c r="AJ360" s="150"/>
      <c r="AK360" s="150"/>
      <c r="AL360" s="150"/>
      <c r="AM360" s="150"/>
      <c r="AN360" s="150"/>
      <c r="AO360" s="150"/>
      <c r="AP360" s="150"/>
      <c r="AQ360" s="150"/>
      <c r="AT360" s="186"/>
      <c r="AU360" s="186"/>
      <c r="AV360" s="186"/>
      <c r="AW360" s="186"/>
      <c r="AX360" s="186"/>
      <c r="AY360" s="186"/>
      <c r="AZ360" s="186"/>
      <c r="BA360" s="186"/>
      <c r="BB360" s="186"/>
      <c r="BC360" s="186"/>
      <c r="BD360" s="186"/>
      <c r="BE360" s="186"/>
      <c r="BF360" s="150"/>
      <c r="BG360" s="150"/>
    </row>
    <row r="361" spans="3:59" ht="14.6">
      <c r="C361" s="289"/>
      <c r="D361" s="150"/>
      <c r="E361" s="150"/>
      <c r="F361" s="150"/>
      <c r="G361" s="150"/>
      <c r="H361" s="150"/>
      <c r="I361" s="150"/>
      <c r="J361" s="150"/>
      <c r="K361" s="150"/>
      <c r="L361" s="150"/>
      <c r="M361" s="150"/>
      <c r="N361" s="150"/>
      <c r="O361" s="150"/>
      <c r="P361" s="150"/>
      <c r="Q361" s="150"/>
      <c r="R361" s="150"/>
      <c r="S361" s="150"/>
      <c r="T361" s="186"/>
      <c r="U361" s="186"/>
      <c r="V361" s="186"/>
      <c r="W361" s="186"/>
      <c r="X361" s="186"/>
      <c r="Y361" s="186"/>
      <c r="Z361" s="186"/>
      <c r="AA361" s="186"/>
      <c r="AB361" s="186"/>
      <c r="AC361" s="186"/>
      <c r="AD361" s="186"/>
      <c r="AF361" s="150"/>
      <c r="AG361" s="150"/>
      <c r="AH361" s="150"/>
      <c r="AI361" s="150"/>
      <c r="AJ361" s="150"/>
      <c r="AK361" s="150"/>
      <c r="AL361" s="150"/>
      <c r="AM361" s="150"/>
      <c r="AN361" s="150"/>
      <c r="AO361" s="150"/>
      <c r="AP361" s="150"/>
      <c r="AQ361" s="150"/>
      <c r="AT361" s="186"/>
      <c r="AU361" s="186"/>
      <c r="AV361" s="186"/>
      <c r="AW361" s="186"/>
      <c r="AX361" s="186"/>
      <c r="AY361" s="186"/>
      <c r="AZ361" s="186"/>
      <c r="BA361" s="186"/>
      <c r="BB361" s="186"/>
      <c r="BC361" s="186"/>
      <c r="BD361" s="186"/>
      <c r="BE361" s="186"/>
      <c r="BF361" s="150"/>
      <c r="BG361" s="150"/>
    </row>
    <row r="362" spans="3:59" ht="14.6">
      <c r="C362" s="289"/>
      <c r="D362" s="150"/>
      <c r="E362" s="150"/>
      <c r="F362" s="150"/>
      <c r="G362" s="150"/>
      <c r="H362" s="150"/>
      <c r="I362" s="150"/>
      <c r="J362" s="150"/>
      <c r="K362" s="150"/>
      <c r="L362" s="150"/>
      <c r="M362" s="150"/>
      <c r="N362" s="150"/>
      <c r="O362" s="150"/>
      <c r="P362" s="150"/>
      <c r="Q362" s="150"/>
      <c r="R362" s="150"/>
      <c r="S362" s="150"/>
      <c r="T362" s="186"/>
      <c r="U362" s="186"/>
      <c r="V362" s="186"/>
      <c r="W362" s="186"/>
      <c r="X362" s="186"/>
      <c r="Y362" s="186"/>
      <c r="Z362" s="186"/>
      <c r="AA362" s="186"/>
      <c r="AB362" s="186"/>
      <c r="AC362" s="186"/>
      <c r="AD362" s="186"/>
      <c r="AF362" s="150"/>
      <c r="AG362" s="150"/>
      <c r="AH362" s="150"/>
      <c r="AI362" s="150"/>
      <c r="AJ362" s="150"/>
      <c r="AK362" s="150"/>
      <c r="AL362" s="150"/>
      <c r="AM362" s="150"/>
      <c r="AN362" s="150"/>
      <c r="AO362" s="150"/>
      <c r="AP362" s="150"/>
      <c r="AQ362" s="150"/>
      <c r="AT362" s="186"/>
      <c r="AU362" s="186"/>
      <c r="AV362" s="186"/>
      <c r="AW362" s="186"/>
      <c r="AX362" s="186"/>
      <c r="AY362" s="186"/>
      <c r="AZ362" s="186"/>
      <c r="BA362" s="186"/>
      <c r="BB362" s="186"/>
      <c r="BC362" s="186"/>
      <c r="BD362" s="186"/>
      <c r="BE362" s="186"/>
      <c r="BF362" s="150"/>
      <c r="BG362" s="150"/>
    </row>
    <row r="363" spans="3:59" ht="14.6">
      <c r="C363" s="289"/>
      <c r="D363" s="150"/>
      <c r="E363" s="150"/>
      <c r="F363" s="150"/>
      <c r="G363" s="150"/>
      <c r="H363" s="150"/>
      <c r="I363" s="150"/>
      <c r="J363" s="150"/>
      <c r="K363" s="150"/>
      <c r="L363" s="150"/>
      <c r="M363" s="150"/>
      <c r="N363" s="150"/>
      <c r="O363" s="150"/>
      <c r="P363" s="150"/>
      <c r="Q363" s="150"/>
      <c r="R363" s="150"/>
      <c r="S363" s="150"/>
      <c r="T363" s="186"/>
      <c r="U363" s="186"/>
      <c r="V363" s="186"/>
      <c r="W363" s="186"/>
      <c r="X363" s="186"/>
      <c r="Y363" s="186"/>
      <c r="Z363" s="186"/>
      <c r="AA363" s="186"/>
      <c r="AB363" s="186"/>
      <c r="AC363" s="186"/>
      <c r="AD363" s="186"/>
      <c r="AF363" s="150"/>
      <c r="AG363" s="150"/>
      <c r="AH363" s="150"/>
      <c r="AI363" s="150"/>
      <c r="AJ363" s="150"/>
      <c r="AK363" s="150"/>
      <c r="AL363" s="150"/>
      <c r="AM363" s="150"/>
      <c r="AN363" s="150"/>
      <c r="AO363" s="150"/>
      <c r="AP363" s="150"/>
      <c r="AQ363" s="150"/>
      <c r="AT363" s="186"/>
      <c r="AU363" s="186"/>
      <c r="AV363" s="186"/>
      <c r="AW363" s="186"/>
      <c r="AX363" s="186"/>
      <c r="AY363" s="186"/>
      <c r="AZ363" s="186"/>
      <c r="BA363" s="186"/>
      <c r="BB363" s="186"/>
      <c r="BC363" s="186"/>
      <c r="BD363" s="186"/>
      <c r="BE363" s="186"/>
      <c r="BF363" s="150"/>
      <c r="BG363" s="150"/>
    </row>
    <row r="364" spans="3:59" ht="14.6">
      <c r="C364" s="289"/>
      <c r="D364" s="150"/>
      <c r="E364" s="150"/>
      <c r="F364" s="150"/>
      <c r="G364" s="150"/>
      <c r="H364" s="150"/>
      <c r="I364" s="150"/>
      <c r="J364" s="150"/>
      <c r="K364" s="150"/>
      <c r="L364" s="150"/>
      <c r="M364" s="150"/>
      <c r="N364" s="150"/>
      <c r="O364" s="150"/>
      <c r="P364" s="150"/>
      <c r="Q364" s="150"/>
      <c r="R364" s="150"/>
      <c r="S364" s="150"/>
      <c r="T364" s="186"/>
      <c r="U364" s="186"/>
      <c r="V364" s="186"/>
      <c r="W364" s="186"/>
      <c r="X364" s="186"/>
      <c r="Y364" s="186"/>
      <c r="Z364" s="186"/>
      <c r="AA364" s="186"/>
      <c r="AB364" s="186"/>
      <c r="AC364" s="186"/>
      <c r="AD364" s="186"/>
      <c r="AF364" s="150"/>
      <c r="AG364" s="150"/>
      <c r="AH364" s="150"/>
      <c r="AI364" s="150"/>
      <c r="AJ364" s="150"/>
      <c r="AK364" s="150"/>
      <c r="AL364" s="150"/>
      <c r="AM364" s="150"/>
      <c r="AN364" s="150"/>
      <c r="AO364" s="150"/>
      <c r="AP364" s="150"/>
      <c r="AQ364" s="150"/>
      <c r="AT364" s="186"/>
      <c r="AU364" s="186"/>
      <c r="AV364" s="186"/>
      <c r="AW364" s="186"/>
      <c r="AX364" s="186"/>
      <c r="AY364" s="186"/>
      <c r="AZ364" s="186"/>
      <c r="BA364" s="186"/>
      <c r="BB364" s="186"/>
      <c r="BC364" s="186"/>
      <c r="BD364" s="186"/>
      <c r="BE364" s="186"/>
      <c r="BF364" s="150"/>
      <c r="BG364" s="150"/>
    </row>
    <row r="365" spans="3:59" ht="14.6">
      <c r="C365" s="289"/>
      <c r="D365" s="150"/>
      <c r="E365" s="150"/>
      <c r="F365" s="150"/>
      <c r="G365" s="150"/>
      <c r="H365" s="150"/>
      <c r="I365" s="150"/>
      <c r="J365" s="150"/>
      <c r="K365" s="150"/>
      <c r="L365" s="150"/>
      <c r="M365" s="150"/>
      <c r="N365" s="150"/>
      <c r="O365" s="150"/>
      <c r="P365" s="150"/>
      <c r="Q365" s="150"/>
      <c r="R365" s="150"/>
      <c r="S365" s="150"/>
      <c r="T365" s="186"/>
      <c r="U365" s="186"/>
      <c r="V365" s="186"/>
      <c r="W365" s="186"/>
      <c r="X365" s="186"/>
      <c r="Y365" s="186"/>
      <c r="Z365" s="186"/>
      <c r="AA365" s="186"/>
      <c r="AB365" s="186"/>
      <c r="AC365" s="186"/>
      <c r="AD365" s="186"/>
      <c r="AF365" s="150"/>
      <c r="AG365" s="150"/>
      <c r="AH365" s="150"/>
      <c r="AI365" s="150"/>
      <c r="AJ365" s="150"/>
      <c r="AK365" s="150"/>
      <c r="AL365" s="150"/>
      <c r="AM365" s="150"/>
      <c r="AN365" s="150"/>
      <c r="AO365" s="150"/>
      <c r="AP365" s="150"/>
      <c r="AQ365" s="150"/>
      <c r="AT365" s="186"/>
      <c r="AU365" s="186"/>
      <c r="AV365" s="186"/>
      <c r="AW365" s="186"/>
      <c r="AX365" s="186"/>
      <c r="AY365" s="186"/>
      <c r="AZ365" s="186"/>
      <c r="BA365" s="186"/>
      <c r="BB365" s="186"/>
      <c r="BC365" s="186"/>
      <c r="BD365" s="186"/>
      <c r="BE365" s="186"/>
      <c r="BF365" s="150"/>
      <c r="BG365" s="150"/>
    </row>
    <row r="366" spans="3:59" ht="14.6">
      <c r="C366" s="289"/>
      <c r="D366" s="150"/>
      <c r="E366" s="150"/>
      <c r="F366" s="150"/>
      <c r="G366" s="150"/>
      <c r="H366" s="150"/>
      <c r="I366" s="150"/>
      <c r="J366" s="150"/>
      <c r="K366" s="150"/>
      <c r="L366" s="150"/>
      <c r="M366" s="150"/>
      <c r="N366" s="150"/>
      <c r="O366" s="150"/>
      <c r="P366" s="150"/>
      <c r="Q366" s="150"/>
      <c r="R366" s="150"/>
      <c r="S366" s="150"/>
      <c r="T366" s="186"/>
      <c r="U366" s="186"/>
      <c r="V366" s="186"/>
      <c r="W366" s="186"/>
      <c r="X366" s="186"/>
      <c r="Y366" s="186"/>
      <c r="Z366" s="186"/>
      <c r="AA366" s="186"/>
      <c r="AB366" s="186"/>
      <c r="AC366" s="186"/>
      <c r="AD366" s="186"/>
      <c r="AF366" s="150"/>
      <c r="AG366" s="150"/>
      <c r="AH366" s="150"/>
      <c r="AI366" s="150"/>
      <c r="AJ366" s="150"/>
      <c r="AK366" s="150"/>
      <c r="AL366" s="150"/>
      <c r="AM366" s="150"/>
      <c r="AN366" s="150"/>
      <c r="AO366" s="150"/>
      <c r="AP366" s="150"/>
      <c r="AQ366" s="150"/>
      <c r="AT366" s="186"/>
      <c r="AU366" s="186"/>
      <c r="AV366" s="186"/>
      <c r="AW366" s="186"/>
      <c r="AX366" s="186"/>
      <c r="AY366" s="186"/>
      <c r="AZ366" s="186"/>
      <c r="BA366" s="186"/>
      <c r="BB366" s="186"/>
      <c r="BC366" s="186"/>
      <c r="BD366" s="186"/>
      <c r="BE366" s="186"/>
      <c r="BF366" s="150"/>
      <c r="BG366" s="150"/>
    </row>
    <row r="367" spans="3:59" ht="14.6">
      <c r="C367" s="289"/>
      <c r="D367" s="150"/>
      <c r="E367" s="150"/>
      <c r="F367" s="150"/>
      <c r="G367" s="150"/>
      <c r="H367" s="150"/>
      <c r="I367" s="150"/>
      <c r="J367" s="150"/>
      <c r="K367" s="150"/>
      <c r="L367" s="150"/>
      <c r="M367" s="150"/>
      <c r="N367" s="150"/>
      <c r="O367" s="150"/>
      <c r="P367" s="150"/>
      <c r="Q367" s="150"/>
      <c r="R367" s="150"/>
      <c r="S367" s="150"/>
      <c r="T367" s="186"/>
      <c r="U367" s="186"/>
      <c r="V367" s="186"/>
      <c r="W367" s="186"/>
      <c r="X367" s="186"/>
      <c r="Y367" s="186"/>
      <c r="Z367" s="186"/>
      <c r="AA367" s="186"/>
      <c r="AB367" s="186"/>
      <c r="AC367" s="186"/>
      <c r="AD367" s="186"/>
      <c r="AF367" s="150"/>
      <c r="AG367" s="150"/>
      <c r="AH367" s="150"/>
      <c r="AI367" s="150"/>
      <c r="AJ367" s="150"/>
      <c r="AK367" s="150"/>
      <c r="AL367" s="150"/>
      <c r="AM367" s="150"/>
      <c r="AN367" s="150"/>
      <c r="AO367" s="150"/>
      <c r="AP367" s="150"/>
      <c r="AQ367" s="150"/>
      <c r="AT367" s="186"/>
      <c r="AU367" s="186"/>
      <c r="AV367" s="186"/>
      <c r="AW367" s="186"/>
      <c r="AX367" s="186"/>
      <c r="AY367" s="186"/>
      <c r="AZ367" s="186"/>
      <c r="BA367" s="186"/>
      <c r="BB367" s="186"/>
      <c r="BC367" s="186"/>
      <c r="BD367" s="186"/>
      <c r="BE367" s="186"/>
      <c r="BF367" s="150"/>
      <c r="BG367" s="150"/>
    </row>
    <row r="368" spans="3:59" ht="14.6">
      <c r="C368" s="289"/>
      <c r="D368" s="150"/>
      <c r="E368" s="150"/>
      <c r="F368" s="150"/>
      <c r="G368" s="150"/>
      <c r="H368" s="150"/>
      <c r="I368" s="150"/>
      <c r="J368" s="150"/>
      <c r="K368" s="150"/>
      <c r="L368" s="150"/>
      <c r="M368" s="150"/>
      <c r="N368" s="150"/>
      <c r="O368" s="150"/>
      <c r="P368" s="150"/>
      <c r="Q368" s="150"/>
      <c r="R368" s="150"/>
      <c r="S368" s="150"/>
      <c r="T368" s="186"/>
      <c r="U368" s="186"/>
      <c r="V368" s="186"/>
      <c r="W368" s="186"/>
      <c r="X368" s="186"/>
      <c r="Y368" s="186"/>
      <c r="Z368" s="186"/>
      <c r="AA368" s="186"/>
      <c r="AB368" s="186"/>
      <c r="AC368" s="186"/>
      <c r="AD368" s="186"/>
      <c r="AF368" s="150"/>
      <c r="AG368" s="150"/>
      <c r="AH368" s="150"/>
      <c r="AI368" s="150"/>
      <c r="AJ368" s="150"/>
      <c r="AK368" s="150"/>
      <c r="AL368" s="150"/>
      <c r="AM368" s="150"/>
      <c r="AN368" s="150"/>
      <c r="AO368" s="150"/>
      <c r="AP368" s="150"/>
      <c r="AQ368" s="150"/>
      <c r="AT368" s="186"/>
      <c r="AU368" s="186"/>
      <c r="AV368" s="186"/>
      <c r="AW368" s="186"/>
      <c r="AX368" s="186"/>
      <c r="AY368" s="186"/>
      <c r="AZ368" s="186"/>
      <c r="BA368" s="186"/>
      <c r="BB368" s="186"/>
      <c r="BC368" s="186"/>
      <c r="BD368" s="186"/>
      <c r="BE368" s="186"/>
      <c r="BF368" s="150"/>
      <c r="BG368" s="150"/>
    </row>
    <row r="369" spans="3:59" ht="14.6">
      <c r="C369" s="289"/>
      <c r="D369" s="150"/>
      <c r="E369" s="150"/>
      <c r="F369" s="150"/>
      <c r="G369" s="150"/>
      <c r="H369" s="150"/>
      <c r="I369" s="150"/>
      <c r="J369" s="150"/>
      <c r="K369" s="150"/>
      <c r="L369" s="150"/>
      <c r="M369" s="150"/>
      <c r="N369" s="150"/>
      <c r="O369" s="150"/>
      <c r="P369" s="150"/>
      <c r="Q369" s="150"/>
      <c r="R369" s="150"/>
      <c r="S369" s="150"/>
      <c r="T369" s="186"/>
      <c r="U369" s="186"/>
      <c r="V369" s="186"/>
      <c r="W369" s="186"/>
      <c r="X369" s="186"/>
      <c r="Y369" s="186"/>
      <c r="Z369" s="186"/>
      <c r="AA369" s="186"/>
      <c r="AB369" s="186"/>
      <c r="AC369" s="186"/>
      <c r="AD369" s="186"/>
      <c r="AF369" s="150"/>
      <c r="AG369" s="150"/>
      <c r="AH369" s="150"/>
      <c r="AI369" s="150"/>
      <c r="AJ369" s="150"/>
      <c r="AK369" s="150"/>
      <c r="AL369" s="150"/>
      <c r="AM369" s="150"/>
      <c r="AN369" s="150"/>
      <c r="AO369" s="150"/>
      <c r="AP369" s="150"/>
      <c r="AQ369" s="150"/>
      <c r="AT369" s="186"/>
      <c r="AU369" s="186"/>
      <c r="AV369" s="186"/>
      <c r="AW369" s="186"/>
      <c r="AX369" s="186"/>
      <c r="AY369" s="186"/>
      <c r="AZ369" s="186"/>
      <c r="BA369" s="186"/>
      <c r="BB369" s="186"/>
      <c r="BC369" s="186"/>
      <c r="BD369" s="186"/>
      <c r="BE369" s="186"/>
      <c r="BF369" s="150"/>
      <c r="BG369" s="150"/>
    </row>
    <row r="370" spans="3:59" ht="14.6">
      <c r="C370" s="289"/>
      <c r="D370" s="150"/>
      <c r="E370" s="150"/>
      <c r="F370" s="150"/>
      <c r="G370" s="150"/>
      <c r="H370" s="150"/>
      <c r="I370" s="150"/>
      <c r="J370" s="150"/>
      <c r="K370" s="150"/>
      <c r="L370" s="150"/>
      <c r="M370" s="150"/>
      <c r="N370" s="150"/>
      <c r="O370" s="150"/>
      <c r="P370" s="150"/>
      <c r="Q370" s="150"/>
      <c r="R370" s="150"/>
      <c r="S370" s="150"/>
      <c r="T370" s="186"/>
      <c r="U370" s="186"/>
      <c r="V370" s="186"/>
      <c r="W370" s="186"/>
      <c r="X370" s="186"/>
      <c r="Y370" s="186"/>
      <c r="Z370" s="186"/>
      <c r="AA370" s="186"/>
      <c r="AB370" s="186"/>
      <c r="AC370" s="186"/>
      <c r="AD370" s="186"/>
      <c r="AF370" s="150"/>
      <c r="AG370" s="150"/>
      <c r="AH370" s="150"/>
      <c r="AI370" s="150"/>
      <c r="AJ370" s="150"/>
      <c r="AK370" s="150"/>
      <c r="AL370" s="150"/>
      <c r="AM370" s="150"/>
      <c r="AN370" s="150"/>
      <c r="AO370" s="150"/>
      <c r="AP370" s="150"/>
      <c r="AQ370" s="150"/>
      <c r="AT370" s="186"/>
      <c r="AU370" s="186"/>
      <c r="AV370" s="186"/>
      <c r="AW370" s="186"/>
      <c r="AX370" s="186"/>
      <c r="AY370" s="186"/>
      <c r="AZ370" s="186"/>
      <c r="BA370" s="186"/>
      <c r="BB370" s="186"/>
      <c r="BC370" s="186"/>
      <c r="BD370" s="186"/>
      <c r="BE370" s="186"/>
      <c r="BF370" s="150"/>
      <c r="BG370" s="150"/>
    </row>
    <row r="371" spans="3:59" ht="14.6">
      <c r="C371" s="289"/>
      <c r="D371" s="150"/>
      <c r="E371" s="150"/>
      <c r="F371" s="150"/>
      <c r="G371" s="150"/>
      <c r="H371" s="150"/>
      <c r="I371" s="150"/>
      <c r="J371" s="150"/>
      <c r="K371" s="150"/>
      <c r="L371" s="150"/>
      <c r="M371" s="150"/>
      <c r="N371" s="150"/>
      <c r="O371" s="150"/>
      <c r="P371" s="150"/>
      <c r="Q371" s="150"/>
      <c r="R371" s="150"/>
      <c r="S371" s="150"/>
      <c r="T371" s="186"/>
      <c r="U371" s="186"/>
      <c r="V371" s="186"/>
      <c r="W371" s="186"/>
      <c r="X371" s="186"/>
      <c r="Y371" s="186"/>
      <c r="Z371" s="186"/>
      <c r="AA371" s="186"/>
      <c r="AB371" s="186"/>
      <c r="AC371" s="186"/>
      <c r="AD371" s="186"/>
      <c r="AF371" s="150"/>
      <c r="AG371" s="150"/>
      <c r="AH371" s="150"/>
      <c r="AI371" s="150"/>
      <c r="AJ371" s="150"/>
      <c r="AK371" s="150"/>
      <c r="AL371" s="150"/>
      <c r="AM371" s="150"/>
      <c r="AN371" s="150"/>
      <c r="AO371" s="150"/>
      <c r="AP371" s="150"/>
      <c r="AQ371" s="150"/>
      <c r="AT371" s="186"/>
      <c r="AU371" s="186"/>
      <c r="AV371" s="186"/>
      <c r="AW371" s="186"/>
      <c r="AX371" s="186"/>
      <c r="AY371" s="186"/>
      <c r="AZ371" s="186"/>
      <c r="BA371" s="186"/>
      <c r="BB371" s="186"/>
      <c r="BC371" s="186"/>
      <c r="BD371" s="186"/>
      <c r="BE371" s="186"/>
      <c r="BF371" s="150"/>
      <c r="BG371" s="150"/>
    </row>
    <row r="372" spans="3:59" ht="14.6">
      <c r="C372" s="289"/>
      <c r="D372" s="150"/>
      <c r="E372" s="150"/>
      <c r="F372" s="150"/>
      <c r="G372" s="150"/>
      <c r="H372" s="150"/>
      <c r="I372" s="150"/>
      <c r="J372" s="150"/>
      <c r="K372" s="150"/>
      <c r="L372" s="150"/>
      <c r="M372" s="150"/>
      <c r="N372" s="150"/>
      <c r="O372" s="150"/>
      <c r="P372" s="150"/>
      <c r="Q372" s="150"/>
      <c r="R372" s="150"/>
      <c r="S372" s="150"/>
      <c r="T372" s="186"/>
      <c r="U372" s="186"/>
      <c r="V372" s="186"/>
      <c r="W372" s="186"/>
      <c r="X372" s="186"/>
      <c r="Y372" s="186"/>
      <c r="Z372" s="186"/>
      <c r="AA372" s="186"/>
      <c r="AB372" s="186"/>
      <c r="AC372" s="186"/>
      <c r="AD372" s="186"/>
      <c r="AF372" s="150"/>
      <c r="AG372" s="150"/>
      <c r="AH372" s="150"/>
      <c r="AI372" s="150"/>
      <c r="AJ372" s="150"/>
      <c r="AK372" s="150"/>
      <c r="AL372" s="150"/>
      <c r="AM372" s="150"/>
      <c r="AN372" s="150"/>
      <c r="AO372" s="150"/>
      <c r="AP372" s="150"/>
      <c r="AQ372" s="150"/>
      <c r="AT372" s="186"/>
      <c r="AU372" s="186"/>
      <c r="AV372" s="186"/>
      <c r="AW372" s="186"/>
      <c r="AX372" s="186"/>
      <c r="AY372" s="186"/>
      <c r="AZ372" s="186"/>
      <c r="BA372" s="186"/>
      <c r="BB372" s="186"/>
      <c r="BC372" s="186"/>
      <c r="BD372" s="186"/>
      <c r="BE372" s="186"/>
      <c r="BF372" s="150"/>
      <c r="BG372" s="150"/>
    </row>
    <row r="373" spans="3:59" ht="14.6">
      <c r="C373" s="289"/>
      <c r="D373" s="150"/>
      <c r="E373" s="150"/>
      <c r="F373" s="150"/>
      <c r="G373" s="150"/>
      <c r="H373" s="150"/>
      <c r="I373" s="150"/>
      <c r="J373" s="150"/>
      <c r="K373" s="150"/>
      <c r="L373" s="150"/>
      <c r="M373" s="150"/>
      <c r="N373" s="150"/>
      <c r="O373" s="150"/>
      <c r="P373" s="150"/>
      <c r="Q373" s="150"/>
      <c r="R373" s="150"/>
      <c r="S373" s="150"/>
      <c r="T373" s="186"/>
      <c r="U373" s="186"/>
      <c r="V373" s="186"/>
      <c r="W373" s="186"/>
      <c r="X373" s="186"/>
      <c r="Y373" s="186"/>
      <c r="Z373" s="186"/>
      <c r="AA373" s="186"/>
      <c r="AB373" s="186"/>
      <c r="AC373" s="186"/>
      <c r="AD373" s="186"/>
      <c r="AF373" s="150"/>
      <c r="AG373" s="150"/>
      <c r="AH373" s="150"/>
      <c r="AI373" s="150"/>
      <c r="AJ373" s="150"/>
      <c r="AK373" s="150"/>
      <c r="AL373" s="150"/>
      <c r="AM373" s="150"/>
      <c r="AN373" s="150"/>
      <c r="AO373" s="150"/>
      <c r="AP373" s="150"/>
      <c r="AQ373" s="150"/>
      <c r="AT373" s="186"/>
      <c r="AU373" s="186"/>
      <c r="AV373" s="186"/>
      <c r="AW373" s="186"/>
      <c r="AX373" s="186"/>
      <c r="AY373" s="186"/>
      <c r="AZ373" s="186"/>
      <c r="BA373" s="186"/>
      <c r="BB373" s="186"/>
      <c r="BC373" s="186"/>
      <c r="BD373" s="186"/>
      <c r="BE373" s="186"/>
      <c r="BF373" s="150"/>
      <c r="BG373" s="150"/>
    </row>
    <row r="374" spans="3:59" ht="14.6">
      <c r="C374" s="289"/>
      <c r="D374" s="150"/>
      <c r="E374" s="150"/>
      <c r="F374" s="150"/>
      <c r="G374" s="150"/>
      <c r="H374" s="150"/>
      <c r="I374" s="150"/>
      <c r="J374" s="150"/>
      <c r="K374" s="150"/>
      <c r="L374" s="150"/>
      <c r="M374" s="150"/>
      <c r="N374" s="150"/>
      <c r="O374" s="150"/>
      <c r="P374" s="150"/>
      <c r="Q374" s="150"/>
      <c r="R374" s="150"/>
      <c r="S374" s="150"/>
      <c r="T374" s="186"/>
      <c r="U374" s="186"/>
      <c r="V374" s="186"/>
      <c r="W374" s="186"/>
      <c r="X374" s="186"/>
      <c r="Y374" s="186"/>
      <c r="Z374" s="186"/>
      <c r="AA374" s="186"/>
      <c r="AB374" s="186"/>
      <c r="AC374" s="186"/>
      <c r="AD374" s="186"/>
      <c r="AF374" s="150"/>
      <c r="AG374" s="150"/>
      <c r="AH374" s="150"/>
      <c r="AI374" s="150"/>
      <c r="AJ374" s="150"/>
      <c r="AK374" s="150"/>
      <c r="AL374" s="150"/>
      <c r="AM374" s="150"/>
      <c r="AN374" s="150"/>
      <c r="AO374" s="150"/>
      <c r="AP374" s="150"/>
      <c r="AQ374" s="150"/>
      <c r="AT374" s="186"/>
      <c r="AU374" s="186"/>
      <c r="AV374" s="186"/>
      <c r="AW374" s="186"/>
      <c r="AX374" s="186"/>
      <c r="AY374" s="186"/>
      <c r="AZ374" s="186"/>
      <c r="BA374" s="186"/>
      <c r="BB374" s="186"/>
      <c r="BC374" s="186"/>
      <c r="BD374" s="186"/>
      <c r="BE374" s="186"/>
      <c r="BF374" s="150"/>
      <c r="BG374" s="150"/>
    </row>
    <row r="375" spans="3:59" ht="14.6">
      <c r="C375" s="289"/>
      <c r="D375" s="150"/>
      <c r="E375" s="150"/>
      <c r="F375" s="150"/>
      <c r="G375" s="150"/>
      <c r="H375" s="150"/>
      <c r="I375" s="150"/>
      <c r="J375" s="150"/>
      <c r="K375" s="150"/>
      <c r="L375" s="150"/>
      <c r="M375" s="150"/>
      <c r="N375" s="150"/>
      <c r="O375" s="150"/>
      <c r="P375" s="150"/>
      <c r="Q375" s="150"/>
      <c r="R375" s="150"/>
      <c r="S375" s="150"/>
      <c r="T375" s="186"/>
      <c r="U375" s="186"/>
      <c r="V375" s="186"/>
      <c r="W375" s="186"/>
      <c r="X375" s="186"/>
      <c r="Y375" s="186"/>
      <c r="Z375" s="186"/>
      <c r="AA375" s="186"/>
      <c r="AB375" s="186"/>
      <c r="AC375" s="186"/>
      <c r="AD375" s="186"/>
      <c r="AF375" s="150"/>
      <c r="AG375" s="150"/>
      <c r="AH375" s="150"/>
      <c r="AI375" s="150"/>
      <c r="AJ375" s="150"/>
      <c r="AK375" s="150"/>
      <c r="AL375" s="150"/>
      <c r="AM375" s="150"/>
      <c r="AN375" s="150"/>
      <c r="AO375" s="150"/>
      <c r="AP375" s="150"/>
      <c r="AQ375" s="150"/>
      <c r="AT375" s="186"/>
      <c r="AU375" s="186"/>
      <c r="AV375" s="186"/>
      <c r="AW375" s="186"/>
      <c r="AX375" s="186"/>
      <c r="AY375" s="186"/>
      <c r="AZ375" s="186"/>
      <c r="BA375" s="186"/>
      <c r="BB375" s="186"/>
      <c r="BC375" s="186"/>
      <c r="BD375" s="186"/>
      <c r="BE375" s="186"/>
      <c r="BF375" s="150"/>
      <c r="BG375" s="150"/>
    </row>
    <row r="376" spans="3:59" ht="14.6">
      <c r="C376" s="289"/>
      <c r="D376" s="150"/>
      <c r="E376" s="150"/>
      <c r="F376" s="150"/>
      <c r="G376" s="150"/>
      <c r="H376" s="150"/>
      <c r="I376" s="150"/>
      <c r="J376" s="150"/>
      <c r="K376" s="150"/>
      <c r="L376" s="150"/>
      <c r="M376" s="150"/>
      <c r="N376" s="150"/>
      <c r="O376" s="150"/>
      <c r="P376" s="150"/>
      <c r="Q376" s="150"/>
      <c r="R376" s="150"/>
      <c r="S376" s="150"/>
      <c r="T376" s="186"/>
      <c r="U376" s="186"/>
      <c r="V376" s="186"/>
      <c r="W376" s="186"/>
      <c r="X376" s="186"/>
      <c r="Y376" s="186"/>
      <c r="Z376" s="186"/>
      <c r="AA376" s="186"/>
      <c r="AB376" s="186"/>
      <c r="AC376" s="186"/>
      <c r="AD376" s="186"/>
      <c r="AF376" s="150"/>
      <c r="AG376" s="150"/>
      <c r="AH376" s="150"/>
      <c r="AI376" s="150"/>
      <c r="AJ376" s="150"/>
      <c r="AK376" s="150"/>
      <c r="AL376" s="150"/>
      <c r="AM376" s="150"/>
      <c r="AN376" s="150"/>
      <c r="AO376" s="150"/>
      <c r="AP376" s="150"/>
      <c r="AQ376" s="150"/>
      <c r="AT376" s="186"/>
      <c r="AU376" s="186"/>
      <c r="AV376" s="186"/>
      <c r="AW376" s="186"/>
      <c r="AX376" s="186"/>
      <c r="AY376" s="186"/>
      <c r="AZ376" s="186"/>
      <c r="BA376" s="186"/>
      <c r="BB376" s="186"/>
      <c r="BC376" s="186"/>
      <c r="BD376" s="186"/>
      <c r="BE376" s="186"/>
      <c r="BF376" s="150"/>
      <c r="BG376" s="150"/>
    </row>
    <row r="377" spans="3:59" ht="14.6">
      <c r="C377" s="289"/>
      <c r="D377" s="150"/>
      <c r="E377" s="150"/>
      <c r="F377" s="150"/>
      <c r="G377" s="150"/>
      <c r="H377" s="150"/>
      <c r="I377" s="150"/>
      <c r="J377" s="150"/>
      <c r="K377" s="150"/>
      <c r="L377" s="150"/>
      <c r="M377" s="150"/>
      <c r="N377" s="150"/>
      <c r="O377" s="150"/>
      <c r="P377" s="150"/>
      <c r="Q377" s="150"/>
      <c r="R377" s="150"/>
      <c r="S377" s="150"/>
      <c r="T377" s="186"/>
      <c r="U377" s="186"/>
      <c r="V377" s="186"/>
      <c r="W377" s="186"/>
      <c r="X377" s="186"/>
      <c r="Y377" s="186"/>
      <c r="Z377" s="186"/>
      <c r="AA377" s="186"/>
      <c r="AB377" s="186"/>
      <c r="AC377" s="186"/>
      <c r="AD377" s="186"/>
      <c r="AF377" s="150"/>
      <c r="AG377" s="150"/>
      <c r="AH377" s="150"/>
      <c r="AI377" s="150"/>
      <c r="AJ377" s="150"/>
      <c r="AK377" s="150"/>
      <c r="AL377" s="150"/>
      <c r="AM377" s="150"/>
      <c r="AN377" s="150"/>
      <c r="AO377" s="150"/>
      <c r="AP377" s="150"/>
      <c r="AQ377" s="150"/>
      <c r="AT377" s="186"/>
      <c r="AU377" s="186"/>
      <c r="AV377" s="186"/>
      <c r="AW377" s="186"/>
      <c r="AX377" s="186"/>
      <c r="AY377" s="186"/>
      <c r="AZ377" s="186"/>
      <c r="BA377" s="186"/>
      <c r="BB377" s="186"/>
      <c r="BC377" s="186"/>
      <c r="BD377" s="186"/>
      <c r="BE377" s="186"/>
      <c r="BF377" s="150"/>
      <c r="BG377" s="150"/>
    </row>
    <row r="378" spans="3:59" ht="14.6">
      <c r="C378" s="289"/>
      <c r="D378" s="150"/>
      <c r="E378" s="150"/>
      <c r="F378" s="150"/>
      <c r="G378" s="150"/>
      <c r="H378" s="150"/>
      <c r="I378" s="150"/>
      <c r="J378" s="150"/>
      <c r="K378" s="150"/>
      <c r="L378" s="150"/>
      <c r="M378" s="150"/>
      <c r="N378" s="150"/>
      <c r="O378" s="150"/>
      <c r="P378" s="150"/>
      <c r="Q378" s="150"/>
      <c r="R378" s="150"/>
      <c r="S378" s="150"/>
      <c r="T378" s="186"/>
      <c r="U378" s="186"/>
      <c r="V378" s="186"/>
      <c r="W378" s="186"/>
      <c r="X378" s="186"/>
      <c r="Y378" s="186"/>
      <c r="Z378" s="186"/>
      <c r="AA378" s="186"/>
      <c r="AB378" s="186"/>
      <c r="AC378" s="186"/>
      <c r="AD378" s="186"/>
      <c r="AF378" s="150"/>
      <c r="AG378" s="150"/>
      <c r="AH378" s="150"/>
      <c r="AI378" s="150"/>
      <c r="AJ378" s="150"/>
      <c r="AK378" s="150"/>
      <c r="AL378" s="150"/>
      <c r="AM378" s="150"/>
      <c r="AN378" s="150"/>
      <c r="AO378" s="150"/>
      <c r="AP378" s="150"/>
      <c r="AQ378" s="150"/>
      <c r="AT378" s="186"/>
      <c r="AU378" s="186"/>
      <c r="AV378" s="186"/>
      <c r="AW378" s="186"/>
      <c r="AX378" s="186"/>
      <c r="AY378" s="186"/>
      <c r="AZ378" s="186"/>
      <c r="BA378" s="186"/>
      <c r="BB378" s="186"/>
      <c r="BC378" s="186"/>
      <c r="BD378" s="186"/>
      <c r="BE378" s="186"/>
      <c r="BF378" s="150"/>
      <c r="BG378" s="150"/>
    </row>
    <row r="379" spans="3:59" ht="14.6">
      <c r="C379" s="289"/>
      <c r="D379" s="150"/>
      <c r="E379" s="150"/>
      <c r="F379" s="150"/>
      <c r="G379" s="150"/>
      <c r="H379" s="150"/>
      <c r="I379" s="150"/>
      <c r="J379" s="150"/>
      <c r="K379" s="150"/>
      <c r="L379" s="150"/>
      <c r="M379" s="150"/>
      <c r="N379" s="150"/>
      <c r="O379" s="150"/>
      <c r="P379" s="150"/>
      <c r="Q379" s="150"/>
      <c r="R379" s="150"/>
      <c r="S379" s="150"/>
      <c r="T379" s="186"/>
      <c r="U379" s="186"/>
      <c r="V379" s="186"/>
      <c r="W379" s="186"/>
      <c r="X379" s="186"/>
      <c r="Y379" s="186"/>
      <c r="Z379" s="186"/>
      <c r="AA379" s="186"/>
      <c r="AB379" s="186"/>
      <c r="AC379" s="186"/>
      <c r="AD379" s="186"/>
      <c r="AF379" s="150"/>
      <c r="AG379" s="150"/>
      <c r="AH379" s="150"/>
      <c r="AI379" s="150"/>
      <c r="AJ379" s="150"/>
      <c r="AK379" s="150"/>
      <c r="AL379" s="150"/>
      <c r="AM379" s="150"/>
      <c r="AN379" s="150"/>
      <c r="AO379" s="150"/>
      <c r="AP379" s="150"/>
      <c r="AQ379" s="150"/>
      <c r="AT379" s="186"/>
      <c r="AU379" s="186"/>
      <c r="AV379" s="186"/>
      <c r="AW379" s="186"/>
      <c r="AX379" s="186"/>
      <c r="AY379" s="186"/>
      <c r="AZ379" s="186"/>
      <c r="BA379" s="186"/>
      <c r="BB379" s="186"/>
      <c r="BC379" s="186"/>
      <c r="BD379" s="186"/>
      <c r="BE379" s="186"/>
      <c r="BF379" s="150"/>
      <c r="BG379" s="150"/>
    </row>
    <row r="380" spans="3:59" ht="14.6">
      <c r="C380" s="289"/>
      <c r="D380" s="150"/>
      <c r="E380" s="150"/>
      <c r="F380" s="150"/>
      <c r="G380" s="150"/>
      <c r="H380" s="150"/>
      <c r="I380" s="150"/>
      <c r="J380" s="150"/>
      <c r="K380" s="150"/>
      <c r="L380" s="150"/>
      <c r="M380" s="150"/>
      <c r="N380" s="150"/>
      <c r="O380" s="150"/>
      <c r="P380" s="150"/>
      <c r="Q380" s="150"/>
      <c r="R380" s="150"/>
      <c r="S380" s="150"/>
      <c r="T380" s="186"/>
      <c r="U380" s="186"/>
      <c r="V380" s="186"/>
      <c r="W380" s="186"/>
      <c r="X380" s="186"/>
      <c r="Y380" s="186"/>
      <c r="Z380" s="186"/>
      <c r="AA380" s="186"/>
      <c r="AB380" s="186"/>
      <c r="AC380" s="186"/>
      <c r="AD380" s="186"/>
      <c r="AF380" s="150"/>
      <c r="AG380" s="150"/>
      <c r="AH380" s="150"/>
      <c r="AI380" s="150"/>
      <c r="AJ380" s="150"/>
      <c r="AK380" s="150"/>
      <c r="AL380" s="150"/>
      <c r="AM380" s="150"/>
      <c r="AN380" s="150"/>
      <c r="AO380" s="150"/>
      <c r="AP380" s="150"/>
      <c r="AQ380" s="150"/>
      <c r="AT380" s="186"/>
      <c r="AU380" s="186"/>
      <c r="AV380" s="186"/>
      <c r="AW380" s="186"/>
      <c r="AX380" s="186"/>
      <c r="AY380" s="186"/>
      <c r="AZ380" s="186"/>
      <c r="BA380" s="186"/>
      <c r="BB380" s="186"/>
      <c r="BC380" s="186"/>
      <c r="BD380" s="186"/>
      <c r="BE380" s="186"/>
      <c r="BF380" s="150"/>
      <c r="BG380" s="150"/>
    </row>
    <row r="381" spans="3:59" ht="14.6">
      <c r="C381" s="289"/>
      <c r="D381" s="150"/>
      <c r="E381" s="150"/>
      <c r="F381" s="150"/>
      <c r="G381" s="150"/>
      <c r="H381" s="150"/>
      <c r="I381" s="150"/>
      <c r="J381" s="150"/>
      <c r="K381" s="150"/>
      <c r="L381" s="150"/>
      <c r="M381" s="150"/>
      <c r="N381" s="150"/>
      <c r="O381" s="150"/>
      <c r="P381" s="150"/>
      <c r="Q381" s="150"/>
      <c r="R381" s="150"/>
      <c r="S381" s="150"/>
      <c r="T381" s="186"/>
      <c r="U381" s="186"/>
      <c r="V381" s="186"/>
      <c r="W381" s="186"/>
      <c r="X381" s="186"/>
      <c r="Y381" s="186"/>
      <c r="Z381" s="186"/>
      <c r="AA381" s="186"/>
      <c r="AB381" s="186"/>
      <c r="AC381" s="186"/>
      <c r="AD381" s="186"/>
      <c r="AF381" s="150"/>
      <c r="AG381" s="150"/>
      <c r="AH381" s="150"/>
      <c r="AI381" s="150"/>
      <c r="AJ381" s="150"/>
      <c r="AK381" s="150"/>
      <c r="AL381" s="150"/>
      <c r="AM381" s="150"/>
      <c r="AN381" s="150"/>
      <c r="AO381" s="150"/>
      <c r="AP381" s="150"/>
      <c r="AQ381" s="150"/>
      <c r="AT381" s="186"/>
      <c r="AU381" s="186"/>
      <c r="AV381" s="186"/>
      <c r="AW381" s="186"/>
      <c r="AX381" s="186"/>
      <c r="AY381" s="186"/>
      <c r="AZ381" s="186"/>
      <c r="BA381" s="186"/>
      <c r="BB381" s="186"/>
      <c r="BC381" s="186"/>
      <c r="BD381" s="186"/>
      <c r="BE381" s="186"/>
      <c r="BF381" s="150"/>
      <c r="BG381" s="150"/>
    </row>
    <row r="382" spans="3:59" ht="14.6">
      <c r="C382" s="289"/>
      <c r="D382" s="150"/>
      <c r="E382" s="150"/>
      <c r="F382" s="150"/>
      <c r="G382" s="150"/>
      <c r="H382" s="150"/>
      <c r="I382" s="150"/>
      <c r="J382" s="150"/>
      <c r="K382" s="150"/>
      <c r="L382" s="150"/>
      <c r="M382" s="150"/>
      <c r="N382" s="150"/>
      <c r="O382" s="150"/>
      <c r="P382" s="150"/>
      <c r="Q382" s="150"/>
      <c r="R382" s="150"/>
      <c r="S382" s="150"/>
      <c r="T382" s="186"/>
      <c r="U382" s="186"/>
      <c r="V382" s="186"/>
      <c r="W382" s="186"/>
      <c r="X382" s="186"/>
      <c r="Y382" s="186"/>
      <c r="Z382" s="186"/>
      <c r="AA382" s="186"/>
      <c r="AB382" s="186"/>
      <c r="AC382" s="186"/>
      <c r="AD382" s="186"/>
      <c r="AF382" s="150"/>
      <c r="AG382" s="150"/>
      <c r="AH382" s="150"/>
      <c r="AI382" s="150"/>
      <c r="AJ382" s="150"/>
      <c r="AK382" s="150"/>
      <c r="AL382" s="150"/>
      <c r="AM382" s="150"/>
      <c r="AN382" s="150"/>
      <c r="AO382" s="150"/>
      <c r="AP382" s="150"/>
      <c r="AQ382" s="150"/>
      <c r="AT382" s="186"/>
      <c r="AU382" s="186"/>
      <c r="AV382" s="186"/>
      <c r="AW382" s="186"/>
      <c r="AX382" s="186"/>
      <c r="AY382" s="186"/>
      <c r="AZ382" s="186"/>
      <c r="BA382" s="186"/>
      <c r="BB382" s="186"/>
      <c r="BC382" s="186"/>
      <c r="BD382" s="186"/>
      <c r="BE382" s="186"/>
      <c r="BF382" s="150"/>
      <c r="BG382" s="150"/>
    </row>
    <row r="383" spans="3:59" ht="14.6">
      <c r="C383" s="289"/>
      <c r="D383" s="150"/>
      <c r="E383" s="150"/>
      <c r="F383" s="150"/>
      <c r="G383" s="150"/>
      <c r="H383" s="150"/>
      <c r="I383" s="150"/>
      <c r="J383" s="150"/>
      <c r="K383" s="150"/>
      <c r="L383" s="150"/>
      <c r="M383" s="150"/>
      <c r="N383" s="150"/>
      <c r="O383" s="150"/>
      <c r="P383" s="150"/>
      <c r="Q383" s="150"/>
      <c r="R383" s="150"/>
      <c r="S383" s="150"/>
      <c r="T383" s="186"/>
      <c r="U383" s="186"/>
      <c r="V383" s="186"/>
      <c r="W383" s="186"/>
      <c r="X383" s="186"/>
      <c r="Y383" s="186"/>
      <c r="Z383" s="186"/>
      <c r="AA383" s="186"/>
      <c r="AB383" s="186"/>
      <c r="AC383" s="186"/>
      <c r="AD383" s="186"/>
      <c r="AF383" s="150"/>
      <c r="AG383" s="150"/>
      <c r="AH383" s="150"/>
      <c r="AI383" s="150"/>
      <c r="AJ383" s="150"/>
      <c r="AK383" s="150"/>
      <c r="AL383" s="150"/>
      <c r="AM383" s="150"/>
      <c r="AN383" s="150"/>
      <c r="AO383" s="150"/>
      <c r="AP383" s="150"/>
      <c r="AQ383" s="150"/>
      <c r="AT383" s="186"/>
      <c r="AU383" s="186"/>
      <c r="AV383" s="186"/>
      <c r="AW383" s="186"/>
      <c r="AX383" s="186"/>
      <c r="AY383" s="186"/>
      <c r="AZ383" s="186"/>
      <c r="BA383" s="186"/>
      <c r="BB383" s="186"/>
      <c r="BC383" s="186"/>
      <c r="BD383" s="186"/>
      <c r="BE383" s="186"/>
      <c r="BF383" s="150"/>
      <c r="BG383" s="150"/>
    </row>
    <row r="384" spans="3:59" ht="14.6">
      <c r="C384" s="289"/>
      <c r="D384" s="150"/>
      <c r="E384" s="150"/>
      <c r="F384" s="150"/>
      <c r="G384" s="150"/>
      <c r="H384" s="150"/>
      <c r="I384" s="150"/>
      <c r="J384" s="150"/>
      <c r="K384" s="150"/>
      <c r="L384" s="150"/>
      <c r="M384" s="150"/>
      <c r="N384" s="150"/>
      <c r="O384" s="150"/>
      <c r="P384" s="150"/>
      <c r="Q384" s="150"/>
      <c r="R384" s="150"/>
      <c r="S384" s="150"/>
      <c r="T384" s="186"/>
      <c r="U384" s="186"/>
      <c r="V384" s="186"/>
      <c r="W384" s="186"/>
      <c r="X384" s="186"/>
      <c r="Y384" s="186"/>
      <c r="Z384" s="186"/>
      <c r="AA384" s="186"/>
      <c r="AB384" s="186"/>
      <c r="AC384" s="186"/>
      <c r="AD384" s="186"/>
      <c r="AF384" s="150"/>
      <c r="AG384" s="150"/>
      <c r="AH384" s="150"/>
      <c r="AI384" s="150"/>
      <c r="AJ384" s="150"/>
      <c r="AK384" s="150"/>
      <c r="AL384" s="150"/>
      <c r="AM384" s="150"/>
      <c r="AN384" s="150"/>
      <c r="AO384" s="150"/>
      <c r="AP384" s="150"/>
      <c r="AQ384" s="150"/>
      <c r="AT384" s="186"/>
      <c r="AU384" s="186"/>
      <c r="AV384" s="186"/>
      <c r="AW384" s="186"/>
      <c r="AX384" s="186"/>
      <c r="AY384" s="186"/>
      <c r="AZ384" s="186"/>
      <c r="BA384" s="186"/>
      <c r="BB384" s="186"/>
      <c r="BC384" s="186"/>
      <c r="BD384" s="186"/>
      <c r="BE384" s="186"/>
      <c r="BF384" s="150"/>
      <c r="BG384" s="150"/>
    </row>
    <row r="385" spans="3:59" ht="14.6">
      <c r="C385" s="289"/>
      <c r="D385" s="150"/>
      <c r="E385" s="150"/>
      <c r="F385" s="150"/>
      <c r="G385" s="150"/>
      <c r="H385" s="150"/>
      <c r="I385" s="150"/>
      <c r="J385" s="150"/>
      <c r="K385" s="150"/>
      <c r="L385" s="150"/>
      <c r="M385" s="150"/>
      <c r="N385" s="150"/>
      <c r="O385" s="150"/>
      <c r="P385" s="150"/>
      <c r="Q385" s="150"/>
      <c r="R385" s="150"/>
      <c r="S385" s="150"/>
      <c r="T385" s="186"/>
      <c r="U385" s="186"/>
      <c r="V385" s="186"/>
      <c r="W385" s="186"/>
      <c r="X385" s="186"/>
      <c r="Y385" s="186"/>
      <c r="Z385" s="186"/>
      <c r="AA385" s="186"/>
      <c r="AB385" s="186"/>
      <c r="AC385" s="186"/>
      <c r="AD385" s="186"/>
      <c r="AF385" s="150"/>
      <c r="AG385" s="150"/>
      <c r="AH385" s="150"/>
      <c r="AI385" s="150"/>
      <c r="AJ385" s="150"/>
      <c r="AK385" s="150"/>
      <c r="AL385" s="150"/>
      <c r="AM385" s="150"/>
      <c r="AN385" s="150"/>
      <c r="AO385" s="150"/>
      <c r="AP385" s="150"/>
      <c r="AQ385" s="150"/>
      <c r="AT385" s="186"/>
      <c r="AU385" s="186"/>
      <c r="AV385" s="186"/>
      <c r="AW385" s="186"/>
      <c r="AX385" s="186"/>
      <c r="AY385" s="186"/>
      <c r="AZ385" s="186"/>
      <c r="BA385" s="186"/>
      <c r="BB385" s="186"/>
      <c r="BC385" s="186"/>
      <c r="BD385" s="186"/>
      <c r="BE385" s="186"/>
      <c r="BF385" s="150"/>
      <c r="BG385" s="150"/>
    </row>
    <row r="386" spans="3:59" ht="14.6">
      <c r="C386" s="289"/>
      <c r="D386" s="150"/>
      <c r="E386" s="150"/>
      <c r="F386" s="150"/>
      <c r="G386" s="150"/>
      <c r="H386" s="150"/>
      <c r="I386" s="150"/>
      <c r="J386" s="150"/>
      <c r="K386" s="150"/>
      <c r="L386" s="150"/>
      <c r="M386" s="150"/>
      <c r="N386" s="150"/>
      <c r="O386" s="150"/>
      <c r="P386" s="150"/>
      <c r="Q386" s="150"/>
      <c r="R386" s="150"/>
      <c r="S386" s="150"/>
      <c r="T386" s="186"/>
      <c r="U386" s="186"/>
      <c r="V386" s="186"/>
      <c r="W386" s="186"/>
      <c r="X386" s="186"/>
      <c r="Y386" s="186"/>
      <c r="Z386" s="186"/>
      <c r="AA386" s="186"/>
      <c r="AB386" s="186"/>
      <c r="AC386" s="186"/>
      <c r="AD386" s="186"/>
      <c r="AF386" s="150"/>
      <c r="AG386" s="150"/>
      <c r="AH386" s="150"/>
      <c r="AI386" s="150"/>
      <c r="AJ386" s="150"/>
      <c r="AK386" s="150"/>
      <c r="AL386" s="150"/>
      <c r="AM386" s="150"/>
      <c r="AN386" s="150"/>
      <c r="AO386" s="150"/>
      <c r="AP386" s="150"/>
      <c r="AQ386" s="150"/>
      <c r="AT386" s="186"/>
      <c r="AU386" s="186"/>
      <c r="AV386" s="186"/>
      <c r="AW386" s="186"/>
      <c r="AX386" s="186"/>
      <c r="AY386" s="186"/>
      <c r="AZ386" s="186"/>
      <c r="BA386" s="186"/>
      <c r="BB386" s="186"/>
      <c r="BC386" s="186"/>
      <c r="BD386" s="186"/>
      <c r="BE386" s="186"/>
      <c r="BF386" s="150"/>
      <c r="BG386" s="150"/>
    </row>
    <row r="387" spans="3:59" ht="14.6">
      <c r="C387" s="289"/>
      <c r="D387" s="150"/>
      <c r="E387" s="150"/>
      <c r="F387" s="150"/>
      <c r="G387" s="150"/>
      <c r="H387" s="150"/>
      <c r="I387" s="150"/>
      <c r="J387" s="150"/>
      <c r="K387" s="150"/>
      <c r="L387" s="150"/>
      <c r="M387" s="150"/>
      <c r="N387" s="150"/>
      <c r="O387" s="150"/>
      <c r="P387" s="150"/>
      <c r="Q387" s="150"/>
      <c r="R387" s="150"/>
      <c r="S387" s="150"/>
      <c r="T387" s="186"/>
      <c r="U387" s="186"/>
      <c r="V387" s="186"/>
      <c r="W387" s="186"/>
      <c r="X387" s="186"/>
      <c r="Y387" s="186"/>
      <c r="Z387" s="186"/>
      <c r="AA387" s="186"/>
      <c r="AB387" s="186"/>
      <c r="AC387" s="186"/>
      <c r="AD387" s="186"/>
      <c r="AF387" s="150"/>
      <c r="AG387" s="150"/>
      <c r="AH387" s="150"/>
      <c r="AI387" s="150"/>
      <c r="AJ387" s="150"/>
      <c r="AK387" s="150"/>
      <c r="AL387" s="150"/>
      <c r="AM387" s="150"/>
      <c r="AN387" s="150"/>
      <c r="AO387" s="150"/>
      <c r="AP387" s="150"/>
      <c r="AQ387" s="150"/>
      <c r="AT387" s="186"/>
      <c r="AU387" s="186"/>
      <c r="AV387" s="186"/>
      <c r="AW387" s="186"/>
      <c r="AX387" s="186"/>
      <c r="AY387" s="186"/>
      <c r="AZ387" s="186"/>
      <c r="BA387" s="186"/>
      <c r="BB387" s="186"/>
      <c r="BC387" s="186"/>
      <c r="BD387" s="186"/>
      <c r="BE387" s="186"/>
      <c r="BF387" s="150"/>
      <c r="BG387" s="150"/>
    </row>
    <row r="388" spans="3:59" ht="14.6">
      <c r="C388" s="289"/>
      <c r="D388" s="150"/>
      <c r="E388" s="150"/>
      <c r="F388" s="150"/>
      <c r="G388" s="150"/>
      <c r="H388" s="150"/>
      <c r="I388" s="150"/>
      <c r="J388" s="150"/>
      <c r="K388" s="150"/>
      <c r="L388" s="150"/>
      <c r="M388" s="150"/>
      <c r="N388" s="150"/>
      <c r="O388" s="150"/>
      <c r="P388" s="150"/>
      <c r="Q388" s="150"/>
      <c r="R388" s="150"/>
      <c r="S388" s="150"/>
      <c r="T388" s="186"/>
      <c r="U388" s="186"/>
      <c r="V388" s="186"/>
      <c r="W388" s="186"/>
      <c r="X388" s="186"/>
      <c r="Y388" s="186"/>
      <c r="Z388" s="186"/>
      <c r="AA388" s="186"/>
      <c r="AB388" s="186"/>
      <c r="AC388" s="186"/>
      <c r="AD388" s="186"/>
      <c r="AF388" s="150"/>
      <c r="AG388" s="150"/>
      <c r="AH388" s="150"/>
      <c r="AI388" s="150"/>
      <c r="AJ388" s="150"/>
      <c r="AK388" s="150"/>
      <c r="AL388" s="150"/>
      <c r="AM388" s="150"/>
      <c r="AN388" s="150"/>
      <c r="AO388" s="150"/>
      <c r="AP388" s="150"/>
      <c r="AQ388" s="150"/>
      <c r="AT388" s="186"/>
      <c r="AU388" s="186"/>
      <c r="AV388" s="186"/>
      <c r="AW388" s="186"/>
      <c r="AX388" s="186"/>
      <c r="AY388" s="186"/>
      <c r="AZ388" s="186"/>
      <c r="BA388" s="186"/>
      <c r="BB388" s="186"/>
      <c r="BC388" s="186"/>
      <c r="BD388" s="186"/>
      <c r="BE388" s="186"/>
      <c r="BF388" s="150"/>
      <c r="BG388" s="150"/>
    </row>
    <row r="389" spans="3:59" ht="14.6">
      <c r="C389" s="289"/>
      <c r="D389" s="150"/>
      <c r="E389" s="150"/>
      <c r="F389" s="150"/>
      <c r="G389" s="150"/>
      <c r="H389" s="150"/>
      <c r="I389" s="150"/>
      <c r="J389" s="150"/>
      <c r="K389" s="150"/>
      <c r="L389" s="150"/>
      <c r="M389" s="150"/>
      <c r="N389" s="150"/>
      <c r="O389" s="150"/>
      <c r="P389" s="150"/>
      <c r="Q389" s="150"/>
      <c r="R389" s="150"/>
      <c r="S389" s="150"/>
      <c r="T389" s="186"/>
      <c r="U389" s="186"/>
      <c r="V389" s="186"/>
      <c r="W389" s="186"/>
      <c r="X389" s="186"/>
      <c r="Y389" s="186"/>
      <c r="Z389" s="186"/>
      <c r="AA389" s="186"/>
      <c r="AB389" s="186"/>
      <c r="AC389" s="186"/>
      <c r="AD389" s="186"/>
      <c r="AF389" s="150"/>
      <c r="AG389" s="150"/>
      <c r="AH389" s="150"/>
      <c r="AI389" s="150"/>
      <c r="AJ389" s="150"/>
      <c r="AK389" s="150"/>
      <c r="AL389" s="150"/>
      <c r="AM389" s="150"/>
      <c r="AN389" s="150"/>
      <c r="AO389" s="150"/>
      <c r="AP389" s="150"/>
      <c r="AQ389" s="150"/>
      <c r="AT389" s="186"/>
      <c r="AU389" s="186"/>
      <c r="AV389" s="186"/>
      <c r="AW389" s="186"/>
      <c r="AX389" s="186"/>
      <c r="AY389" s="186"/>
      <c r="AZ389" s="186"/>
      <c r="BA389" s="186"/>
      <c r="BB389" s="186"/>
      <c r="BC389" s="186"/>
      <c r="BD389" s="186"/>
      <c r="BE389" s="186"/>
      <c r="BF389" s="150"/>
      <c r="BG389" s="150"/>
    </row>
    <row r="390" spans="3:59" ht="14.6">
      <c r="C390" s="289"/>
      <c r="D390" s="150"/>
      <c r="E390" s="150"/>
      <c r="F390" s="150"/>
      <c r="G390" s="150"/>
      <c r="H390" s="150"/>
      <c r="I390" s="150"/>
      <c r="J390" s="150"/>
      <c r="K390" s="150"/>
      <c r="L390" s="150"/>
      <c r="M390" s="150"/>
      <c r="N390" s="150"/>
      <c r="O390" s="150"/>
      <c r="P390" s="150"/>
      <c r="Q390" s="150"/>
      <c r="R390" s="150"/>
      <c r="S390" s="150"/>
      <c r="T390" s="186"/>
      <c r="U390" s="186"/>
      <c r="V390" s="186"/>
      <c r="W390" s="186"/>
      <c r="X390" s="186"/>
      <c r="Y390" s="186"/>
      <c r="Z390" s="186"/>
      <c r="AA390" s="186"/>
      <c r="AB390" s="186"/>
      <c r="AC390" s="186"/>
      <c r="AD390" s="186"/>
      <c r="AF390" s="150"/>
      <c r="AG390" s="150"/>
      <c r="AH390" s="150"/>
      <c r="AI390" s="150"/>
      <c r="AJ390" s="150"/>
      <c r="AK390" s="150"/>
      <c r="AL390" s="150"/>
      <c r="AM390" s="150"/>
      <c r="AN390" s="150"/>
      <c r="AO390" s="150"/>
      <c r="AP390" s="150"/>
      <c r="AQ390" s="150"/>
      <c r="AT390" s="186"/>
      <c r="AU390" s="186"/>
      <c r="AV390" s="186"/>
      <c r="AW390" s="186"/>
      <c r="AX390" s="186"/>
      <c r="AY390" s="186"/>
      <c r="AZ390" s="186"/>
      <c r="BA390" s="186"/>
      <c r="BB390" s="186"/>
      <c r="BC390" s="186"/>
      <c r="BD390" s="186"/>
      <c r="BE390" s="186"/>
      <c r="BF390" s="150"/>
      <c r="BG390" s="150"/>
    </row>
    <row r="391" spans="3:59" ht="14.6">
      <c r="C391" s="289"/>
      <c r="D391" s="150"/>
      <c r="E391" s="150"/>
      <c r="F391" s="150"/>
      <c r="G391" s="150"/>
      <c r="H391" s="150"/>
      <c r="I391" s="150"/>
      <c r="J391" s="150"/>
      <c r="K391" s="150"/>
      <c r="L391" s="150"/>
      <c r="M391" s="150"/>
      <c r="N391" s="150"/>
      <c r="O391" s="150"/>
      <c r="P391" s="150"/>
      <c r="Q391" s="150"/>
      <c r="R391" s="150"/>
      <c r="S391" s="150"/>
      <c r="T391" s="186"/>
      <c r="U391" s="186"/>
      <c r="V391" s="186"/>
      <c r="W391" s="186"/>
      <c r="X391" s="186"/>
      <c r="Y391" s="186"/>
      <c r="Z391" s="186"/>
      <c r="AA391" s="186"/>
      <c r="AB391" s="186"/>
      <c r="AC391" s="186"/>
      <c r="AD391" s="186"/>
      <c r="AF391" s="150"/>
      <c r="AG391" s="150"/>
      <c r="AH391" s="150"/>
      <c r="AI391" s="150"/>
      <c r="AJ391" s="150"/>
      <c r="AK391" s="150"/>
      <c r="AL391" s="150"/>
      <c r="AM391" s="150"/>
      <c r="AN391" s="150"/>
      <c r="AO391" s="150"/>
      <c r="AP391" s="150"/>
      <c r="AQ391" s="150"/>
      <c r="AT391" s="186"/>
      <c r="AU391" s="186"/>
      <c r="AV391" s="186"/>
      <c r="AW391" s="186"/>
      <c r="AX391" s="186"/>
      <c r="AY391" s="186"/>
      <c r="AZ391" s="186"/>
      <c r="BA391" s="186"/>
      <c r="BB391" s="186"/>
      <c r="BC391" s="186"/>
      <c r="BD391" s="186"/>
      <c r="BE391" s="186"/>
      <c r="BF391" s="150"/>
      <c r="BG391" s="150"/>
    </row>
    <row r="392" spans="3:59" ht="14.6">
      <c r="C392" s="289"/>
      <c r="D392" s="150"/>
      <c r="E392" s="150"/>
      <c r="F392" s="150"/>
      <c r="G392" s="150"/>
      <c r="H392" s="150"/>
      <c r="I392" s="150"/>
      <c r="J392" s="150"/>
      <c r="K392" s="150"/>
      <c r="L392" s="150"/>
      <c r="M392" s="150"/>
      <c r="N392" s="150"/>
      <c r="O392" s="150"/>
      <c r="P392" s="150"/>
      <c r="Q392" s="150"/>
      <c r="R392" s="150"/>
      <c r="S392" s="150"/>
      <c r="T392" s="186"/>
      <c r="U392" s="186"/>
      <c r="V392" s="186"/>
      <c r="W392" s="186"/>
      <c r="X392" s="186"/>
      <c r="Y392" s="186"/>
      <c r="Z392" s="186"/>
      <c r="AA392" s="186"/>
      <c r="AB392" s="186"/>
      <c r="AC392" s="186"/>
      <c r="AD392" s="186"/>
      <c r="AF392" s="150"/>
      <c r="AG392" s="150"/>
      <c r="AH392" s="150"/>
      <c r="AI392" s="150"/>
      <c r="AJ392" s="150"/>
      <c r="AK392" s="150"/>
      <c r="AL392" s="150"/>
      <c r="AM392" s="150"/>
      <c r="AN392" s="150"/>
      <c r="AO392" s="150"/>
      <c r="AP392" s="150"/>
      <c r="AQ392" s="150"/>
      <c r="AT392" s="186"/>
      <c r="AU392" s="186"/>
      <c r="AV392" s="186"/>
      <c r="AW392" s="186"/>
      <c r="AX392" s="186"/>
      <c r="AY392" s="186"/>
      <c r="AZ392" s="186"/>
      <c r="BA392" s="186"/>
      <c r="BB392" s="186"/>
      <c r="BC392" s="186"/>
      <c r="BD392" s="186"/>
      <c r="BE392" s="186"/>
      <c r="BF392" s="150"/>
      <c r="BG392" s="150"/>
    </row>
    <row r="393" spans="3:59" ht="14.6">
      <c r="C393" s="289"/>
      <c r="D393" s="150"/>
      <c r="E393" s="150"/>
      <c r="F393" s="150"/>
      <c r="G393" s="150"/>
      <c r="H393" s="150"/>
      <c r="I393" s="150"/>
      <c r="J393" s="150"/>
      <c r="K393" s="150"/>
      <c r="L393" s="150"/>
      <c r="M393" s="150"/>
      <c r="N393" s="150"/>
      <c r="O393" s="150"/>
      <c r="P393" s="150"/>
      <c r="Q393" s="150"/>
      <c r="R393" s="150"/>
      <c r="S393" s="150"/>
      <c r="T393" s="186"/>
      <c r="U393" s="186"/>
      <c r="V393" s="186"/>
      <c r="W393" s="186"/>
      <c r="X393" s="186"/>
      <c r="Y393" s="186"/>
      <c r="Z393" s="186"/>
      <c r="AA393" s="186"/>
      <c r="AB393" s="186"/>
      <c r="AC393" s="186"/>
      <c r="AD393" s="186"/>
      <c r="AF393" s="150"/>
      <c r="AG393" s="150"/>
      <c r="AH393" s="150"/>
      <c r="AI393" s="150"/>
      <c r="AJ393" s="150"/>
      <c r="AK393" s="150"/>
      <c r="AL393" s="150"/>
      <c r="AM393" s="150"/>
      <c r="AN393" s="150"/>
      <c r="AO393" s="150"/>
      <c r="AP393" s="150"/>
      <c r="AQ393" s="150"/>
      <c r="AT393" s="186"/>
      <c r="AU393" s="186"/>
      <c r="AV393" s="186"/>
      <c r="AW393" s="186"/>
      <c r="AX393" s="186"/>
      <c r="AY393" s="186"/>
      <c r="AZ393" s="186"/>
      <c r="BA393" s="186"/>
      <c r="BB393" s="186"/>
      <c r="BC393" s="186"/>
      <c r="BD393" s="186"/>
      <c r="BE393" s="186"/>
      <c r="BF393" s="150"/>
      <c r="BG393" s="150"/>
    </row>
    <row r="394" spans="3:59" ht="14.6">
      <c r="C394" s="289"/>
      <c r="D394" s="150"/>
      <c r="E394" s="150"/>
      <c r="F394" s="150"/>
      <c r="G394" s="150"/>
      <c r="H394" s="150"/>
      <c r="I394" s="150"/>
      <c r="J394" s="150"/>
      <c r="K394" s="150"/>
      <c r="L394" s="150"/>
      <c r="M394" s="150"/>
      <c r="N394" s="150"/>
      <c r="O394" s="150"/>
      <c r="P394" s="150"/>
      <c r="Q394" s="150"/>
      <c r="R394" s="150"/>
      <c r="S394" s="150"/>
      <c r="T394" s="186"/>
      <c r="U394" s="186"/>
      <c r="V394" s="186"/>
      <c r="W394" s="186"/>
      <c r="X394" s="186"/>
      <c r="Y394" s="186"/>
      <c r="Z394" s="186"/>
      <c r="AA394" s="186"/>
      <c r="AB394" s="186"/>
      <c r="AC394" s="186"/>
      <c r="AD394" s="186"/>
      <c r="AF394" s="150"/>
      <c r="AG394" s="150"/>
      <c r="AH394" s="150"/>
      <c r="AI394" s="150"/>
      <c r="AJ394" s="150"/>
      <c r="AK394" s="150"/>
      <c r="AL394" s="150"/>
      <c r="AM394" s="150"/>
      <c r="AN394" s="150"/>
      <c r="AO394" s="150"/>
      <c r="AP394" s="150"/>
      <c r="AQ394" s="150"/>
      <c r="AT394" s="186"/>
      <c r="AU394" s="186"/>
      <c r="AV394" s="186"/>
      <c r="AW394" s="186"/>
      <c r="AX394" s="186"/>
      <c r="AY394" s="186"/>
      <c r="AZ394" s="186"/>
      <c r="BA394" s="186"/>
      <c r="BB394" s="186"/>
      <c r="BC394" s="186"/>
      <c r="BD394" s="186"/>
      <c r="BE394" s="186"/>
      <c r="BF394" s="150"/>
      <c r="BG394" s="150"/>
    </row>
    <row r="395" spans="3:59" ht="14.6">
      <c r="C395" s="289"/>
      <c r="D395" s="150"/>
      <c r="E395" s="150"/>
      <c r="F395" s="150"/>
      <c r="G395" s="150"/>
      <c r="H395" s="150"/>
      <c r="I395" s="150"/>
      <c r="J395" s="150"/>
      <c r="K395" s="150"/>
      <c r="L395" s="150"/>
      <c r="M395" s="150"/>
      <c r="N395" s="150"/>
      <c r="O395" s="150"/>
      <c r="P395" s="150"/>
      <c r="Q395" s="150"/>
      <c r="R395" s="150"/>
      <c r="S395" s="150"/>
      <c r="T395" s="186"/>
      <c r="U395" s="186"/>
      <c r="V395" s="186"/>
      <c r="W395" s="186"/>
      <c r="X395" s="186"/>
      <c r="Y395" s="186"/>
      <c r="Z395" s="186"/>
      <c r="AA395" s="186"/>
      <c r="AB395" s="186"/>
      <c r="AC395" s="186"/>
      <c r="AD395" s="186"/>
      <c r="AF395" s="150"/>
      <c r="AG395" s="150"/>
      <c r="AH395" s="150"/>
      <c r="AI395" s="150"/>
      <c r="AJ395" s="150"/>
      <c r="AK395" s="150"/>
      <c r="AL395" s="150"/>
      <c r="AM395" s="150"/>
      <c r="AN395" s="150"/>
      <c r="AO395" s="150"/>
      <c r="AP395" s="150"/>
      <c r="AQ395" s="150"/>
      <c r="AT395" s="186"/>
      <c r="AU395" s="186"/>
      <c r="AV395" s="186"/>
      <c r="AW395" s="186"/>
      <c r="AX395" s="186"/>
      <c r="AY395" s="186"/>
      <c r="AZ395" s="186"/>
      <c r="BA395" s="186"/>
      <c r="BB395" s="186"/>
      <c r="BC395" s="186"/>
      <c r="BD395" s="186"/>
      <c r="BE395" s="186"/>
      <c r="BF395" s="150"/>
      <c r="BG395" s="150"/>
    </row>
    <row r="396" spans="3:59" ht="14.6">
      <c r="C396" s="289"/>
      <c r="D396" s="150"/>
      <c r="E396" s="150"/>
      <c r="F396" s="150"/>
      <c r="G396" s="150"/>
      <c r="H396" s="150"/>
      <c r="I396" s="150"/>
      <c r="J396" s="150"/>
      <c r="K396" s="150"/>
      <c r="L396" s="150"/>
      <c r="M396" s="150"/>
      <c r="N396" s="150"/>
      <c r="O396" s="150"/>
      <c r="P396" s="150"/>
      <c r="Q396" s="150"/>
      <c r="R396" s="150"/>
      <c r="S396" s="150"/>
      <c r="T396" s="186"/>
      <c r="U396" s="186"/>
      <c r="V396" s="186"/>
      <c r="W396" s="186"/>
      <c r="X396" s="186"/>
      <c r="Y396" s="186"/>
      <c r="Z396" s="186"/>
      <c r="AA396" s="186"/>
      <c r="AB396" s="186"/>
      <c r="AC396" s="186"/>
      <c r="AD396" s="186"/>
      <c r="AF396" s="150"/>
      <c r="AG396" s="150"/>
      <c r="AH396" s="150"/>
      <c r="AI396" s="150"/>
      <c r="AJ396" s="150"/>
      <c r="AK396" s="150"/>
      <c r="AL396" s="150"/>
      <c r="AM396" s="150"/>
      <c r="AN396" s="150"/>
      <c r="AO396" s="150"/>
      <c r="AP396" s="150"/>
      <c r="AQ396" s="150"/>
      <c r="AT396" s="186"/>
      <c r="AU396" s="186"/>
      <c r="AV396" s="186"/>
      <c r="AW396" s="186"/>
      <c r="AX396" s="186"/>
      <c r="AY396" s="186"/>
      <c r="AZ396" s="186"/>
      <c r="BA396" s="186"/>
      <c r="BB396" s="186"/>
      <c r="BC396" s="186"/>
      <c r="BD396" s="186"/>
      <c r="BE396" s="186"/>
      <c r="BF396" s="150"/>
      <c r="BG396" s="150"/>
    </row>
    <row r="397" spans="3:59" ht="14.6">
      <c r="C397" s="289"/>
      <c r="D397" s="150"/>
      <c r="E397" s="150"/>
      <c r="F397" s="150"/>
      <c r="G397" s="150"/>
      <c r="H397" s="150"/>
      <c r="I397" s="150"/>
      <c r="J397" s="150"/>
      <c r="K397" s="150"/>
      <c r="L397" s="150"/>
      <c r="M397" s="150"/>
      <c r="N397" s="150"/>
      <c r="O397" s="150"/>
      <c r="P397" s="150"/>
      <c r="Q397" s="150"/>
      <c r="R397" s="150"/>
      <c r="S397" s="150"/>
      <c r="T397" s="186"/>
      <c r="U397" s="186"/>
      <c r="V397" s="186"/>
      <c r="W397" s="186"/>
      <c r="X397" s="186"/>
      <c r="Y397" s="186"/>
      <c r="Z397" s="186"/>
      <c r="AA397" s="186"/>
      <c r="AB397" s="186"/>
      <c r="AC397" s="186"/>
      <c r="AD397" s="186"/>
      <c r="AF397" s="150"/>
      <c r="AG397" s="150"/>
      <c r="AH397" s="150"/>
      <c r="AI397" s="150"/>
      <c r="AJ397" s="150"/>
      <c r="AK397" s="150"/>
      <c r="AL397" s="150"/>
      <c r="AM397" s="150"/>
      <c r="AN397" s="150"/>
      <c r="AO397" s="150"/>
      <c r="AP397" s="150"/>
      <c r="AQ397" s="150"/>
      <c r="AT397" s="186"/>
      <c r="AU397" s="186"/>
      <c r="AV397" s="186"/>
      <c r="AW397" s="186"/>
      <c r="AX397" s="186"/>
      <c r="AY397" s="186"/>
      <c r="AZ397" s="186"/>
      <c r="BA397" s="186"/>
      <c r="BB397" s="186"/>
      <c r="BC397" s="186"/>
      <c r="BD397" s="186"/>
      <c r="BE397" s="186"/>
      <c r="BF397" s="150"/>
      <c r="BG397" s="150"/>
    </row>
    <row r="398" spans="3:59" ht="14.6">
      <c r="C398" s="289"/>
      <c r="D398" s="150"/>
      <c r="E398" s="150"/>
      <c r="F398" s="150"/>
      <c r="G398" s="150"/>
      <c r="H398" s="150"/>
      <c r="I398" s="150"/>
      <c r="J398" s="150"/>
      <c r="K398" s="150"/>
      <c r="L398" s="150"/>
      <c r="M398" s="150"/>
      <c r="N398" s="150"/>
      <c r="O398" s="150"/>
      <c r="P398" s="150"/>
      <c r="Q398" s="150"/>
      <c r="R398" s="150"/>
      <c r="S398" s="150"/>
      <c r="T398" s="186"/>
      <c r="U398" s="186"/>
      <c r="V398" s="186"/>
      <c r="W398" s="186"/>
      <c r="X398" s="186"/>
      <c r="Y398" s="186"/>
      <c r="Z398" s="186"/>
      <c r="AA398" s="186"/>
      <c r="AB398" s="186"/>
      <c r="AC398" s="186"/>
      <c r="AD398" s="186"/>
      <c r="AF398" s="150"/>
      <c r="AG398" s="150"/>
      <c r="AH398" s="150"/>
      <c r="AI398" s="150"/>
      <c r="AJ398" s="150"/>
      <c r="AK398" s="150"/>
      <c r="AL398" s="150"/>
      <c r="AM398" s="150"/>
      <c r="AN398" s="150"/>
      <c r="AO398" s="150"/>
      <c r="AP398" s="150"/>
      <c r="AQ398" s="150"/>
      <c r="AT398" s="186"/>
      <c r="AU398" s="186"/>
      <c r="AV398" s="186"/>
      <c r="AW398" s="186"/>
      <c r="AX398" s="186"/>
      <c r="AY398" s="186"/>
      <c r="AZ398" s="186"/>
      <c r="BA398" s="186"/>
      <c r="BB398" s="186"/>
      <c r="BC398" s="186"/>
      <c r="BD398" s="186"/>
      <c r="BE398" s="186"/>
      <c r="BF398" s="150"/>
      <c r="BG398" s="150"/>
    </row>
    <row r="399" spans="3:59" ht="14.6">
      <c r="C399" s="289"/>
      <c r="D399" s="150"/>
      <c r="E399" s="150"/>
      <c r="F399" s="150"/>
      <c r="G399" s="150"/>
      <c r="H399" s="150"/>
      <c r="I399" s="150"/>
      <c r="J399" s="150"/>
      <c r="K399" s="150"/>
      <c r="L399" s="150"/>
      <c r="M399" s="150"/>
      <c r="N399" s="150"/>
      <c r="O399" s="150"/>
      <c r="P399" s="150"/>
      <c r="Q399" s="150"/>
      <c r="R399" s="150"/>
      <c r="S399" s="150"/>
      <c r="T399" s="186"/>
      <c r="U399" s="186"/>
      <c r="V399" s="186"/>
      <c r="W399" s="186"/>
      <c r="X399" s="186"/>
      <c r="Y399" s="186"/>
      <c r="Z399" s="186"/>
      <c r="AA399" s="186"/>
      <c r="AB399" s="186"/>
      <c r="AC399" s="186"/>
      <c r="AD399" s="186"/>
      <c r="AF399" s="150"/>
      <c r="AG399" s="150"/>
      <c r="AH399" s="150"/>
      <c r="AI399" s="150"/>
      <c r="AJ399" s="150"/>
      <c r="AK399" s="150"/>
      <c r="AL399" s="150"/>
      <c r="AM399" s="150"/>
      <c r="AN399" s="150"/>
      <c r="AO399" s="150"/>
      <c r="AP399" s="150"/>
      <c r="AQ399" s="150"/>
      <c r="AT399" s="186"/>
      <c r="AU399" s="186"/>
      <c r="AV399" s="186"/>
      <c r="AW399" s="186"/>
      <c r="AX399" s="186"/>
      <c r="AY399" s="186"/>
      <c r="AZ399" s="186"/>
      <c r="BA399" s="186"/>
      <c r="BB399" s="186"/>
      <c r="BC399" s="186"/>
      <c r="BD399" s="186"/>
      <c r="BE399" s="186"/>
      <c r="BF399" s="150"/>
      <c r="BG399" s="150"/>
    </row>
    <row r="400" spans="3:59" ht="14.6">
      <c r="C400" s="289"/>
      <c r="D400" s="150"/>
      <c r="E400" s="150"/>
      <c r="F400" s="150"/>
      <c r="G400" s="150"/>
      <c r="H400" s="150"/>
      <c r="I400" s="150"/>
      <c r="J400" s="150"/>
      <c r="K400" s="150"/>
      <c r="L400" s="150"/>
      <c r="M400" s="150"/>
      <c r="N400" s="150"/>
      <c r="O400" s="150"/>
      <c r="P400" s="150"/>
      <c r="Q400" s="150"/>
      <c r="R400" s="150"/>
      <c r="S400" s="150"/>
      <c r="T400" s="186"/>
      <c r="U400" s="186"/>
      <c r="V400" s="186"/>
      <c r="W400" s="186"/>
      <c r="X400" s="186"/>
      <c r="Y400" s="186"/>
      <c r="Z400" s="186"/>
      <c r="AA400" s="186"/>
      <c r="AB400" s="186"/>
      <c r="AC400" s="186"/>
      <c r="AD400" s="186"/>
      <c r="AF400" s="150"/>
      <c r="AG400" s="150"/>
      <c r="AH400" s="150"/>
      <c r="AI400" s="150"/>
      <c r="AJ400" s="150"/>
      <c r="AK400" s="150"/>
      <c r="AL400" s="150"/>
      <c r="AM400" s="150"/>
      <c r="AN400" s="150"/>
      <c r="AO400" s="150"/>
      <c r="AP400" s="150"/>
      <c r="AQ400" s="150"/>
      <c r="AT400" s="186"/>
      <c r="AU400" s="186"/>
      <c r="AV400" s="186"/>
      <c r="AW400" s="186"/>
      <c r="AX400" s="186"/>
      <c r="AY400" s="186"/>
      <c r="AZ400" s="186"/>
      <c r="BA400" s="186"/>
      <c r="BB400" s="186"/>
      <c r="BC400" s="186"/>
      <c r="BD400" s="186"/>
      <c r="BE400" s="186"/>
      <c r="BF400" s="150"/>
      <c r="BG400" s="150"/>
    </row>
    <row r="401" spans="3:59" ht="14.6">
      <c r="C401" s="289"/>
      <c r="D401" s="150"/>
      <c r="E401" s="150"/>
      <c r="F401" s="150"/>
      <c r="G401" s="150"/>
      <c r="H401" s="150"/>
      <c r="I401" s="150"/>
      <c r="J401" s="150"/>
      <c r="K401" s="150"/>
      <c r="L401" s="150"/>
      <c r="M401" s="150"/>
      <c r="N401" s="150"/>
      <c r="O401" s="150"/>
      <c r="P401" s="150"/>
      <c r="Q401" s="150"/>
      <c r="R401" s="150"/>
      <c r="S401" s="150"/>
      <c r="T401" s="186"/>
      <c r="U401" s="186"/>
      <c r="V401" s="186"/>
      <c r="W401" s="186"/>
      <c r="X401" s="186"/>
      <c r="Y401" s="186"/>
      <c r="Z401" s="186"/>
      <c r="AA401" s="186"/>
      <c r="AB401" s="186"/>
      <c r="AC401" s="186"/>
      <c r="AD401" s="186"/>
      <c r="AF401" s="150"/>
      <c r="AG401" s="150"/>
      <c r="AH401" s="150"/>
      <c r="AI401" s="150"/>
      <c r="AJ401" s="150"/>
      <c r="AK401" s="150"/>
      <c r="AL401" s="150"/>
      <c r="AM401" s="150"/>
      <c r="AN401" s="150"/>
      <c r="AO401" s="150"/>
      <c r="AP401" s="150"/>
      <c r="AQ401" s="150"/>
      <c r="AT401" s="186"/>
      <c r="AU401" s="186"/>
      <c r="AV401" s="186"/>
      <c r="AW401" s="186"/>
      <c r="AX401" s="186"/>
      <c r="AY401" s="186"/>
      <c r="AZ401" s="186"/>
      <c r="BA401" s="186"/>
      <c r="BB401" s="186"/>
      <c r="BC401" s="186"/>
      <c r="BD401" s="186"/>
      <c r="BE401" s="186"/>
      <c r="BF401" s="150"/>
      <c r="BG401" s="150"/>
    </row>
    <row r="402" spans="3:59" ht="14.6">
      <c r="C402" s="289"/>
      <c r="D402" s="150"/>
      <c r="E402" s="150"/>
      <c r="F402" s="150"/>
      <c r="G402" s="150"/>
      <c r="H402" s="150"/>
      <c r="I402" s="150"/>
      <c r="J402" s="150"/>
      <c r="K402" s="150"/>
      <c r="L402" s="150"/>
      <c r="M402" s="150"/>
      <c r="N402" s="150"/>
      <c r="O402" s="150"/>
      <c r="P402" s="150"/>
      <c r="Q402" s="150"/>
      <c r="R402" s="150"/>
      <c r="S402" s="150"/>
      <c r="T402" s="186"/>
      <c r="U402" s="186"/>
      <c r="V402" s="186"/>
      <c r="W402" s="186"/>
      <c r="X402" s="186"/>
      <c r="Y402" s="186"/>
      <c r="Z402" s="186"/>
      <c r="AA402" s="186"/>
      <c r="AB402" s="186"/>
      <c r="AC402" s="186"/>
      <c r="AD402" s="186"/>
      <c r="AF402" s="150"/>
      <c r="AG402" s="150"/>
      <c r="AH402" s="150"/>
      <c r="AI402" s="150"/>
      <c r="AJ402" s="150"/>
      <c r="AK402" s="150"/>
      <c r="AL402" s="150"/>
      <c r="AM402" s="150"/>
      <c r="AN402" s="150"/>
      <c r="AO402" s="150"/>
      <c r="AP402" s="150"/>
      <c r="AQ402" s="150"/>
      <c r="AT402" s="186"/>
      <c r="AU402" s="186"/>
      <c r="AV402" s="186"/>
      <c r="AW402" s="186"/>
      <c r="AX402" s="186"/>
      <c r="AY402" s="186"/>
      <c r="AZ402" s="186"/>
      <c r="BA402" s="186"/>
      <c r="BB402" s="186"/>
      <c r="BC402" s="186"/>
      <c r="BD402" s="186"/>
      <c r="BE402" s="186"/>
      <c r="BF402" s="150"/>
      <c r="BG402" s="150"/>
    </row>
    <row r="403" spans="3:59" ht="14.6">
      <c r="C403" s="289"/>
      <c r="D403" s="150"/>
      <c r="E403" s="150"/>
      <c r="F403" s="150"/>
      <c r="G403" s="150"/>
      <c r="H403" s="150"/>
      <c r="I403" s="150"/>
      <c r="J403" s="150"/>
      <c r="K403" s="150"/>
      <c r="L403" s="150"/>
      <c r="M403" s="150"/>
      <c r="N403" s="150"/>
      <c r="O403" s="150"/>
      <c r="P403" s="150"/>
      <c r="Q403" s="150"/>
      <c r="R403" s="150"/>
      <c r="S403" s="150"/>
      <c r="T403" s="186"/>
      <c r="U403" s="186"/>
      <c r="V403" s="186"/>
      <c r="W403" s="186"/>
      <c r="X403" s="186"/>
      <c r="Y403" s="186"/>
      <c r="Z403" s="186"/>
      <c r="AA403" s="186"/>
      <c r="AB403" s="186"/>
      <c r="AC403" s="186"/>
      <c r="AD403" s="186"/>
      <c r="AF403" s="150"/>
      <c r="AG403" s="150"/>
      <c r="AH403" s="150"/>
      <c r="AI403" s="150"/>
      <c r="AJ403" s="150"/>
      <c r="AK403" s="150"/>
      <c r="AL403" s="150"/>
      <c r="AM403" s="150"/>
      <c r="AN403" s="150"/>
      <c r="AO403" s="150"/>
      <c r="AP403" s="150"/>
      <c r="AQ403" s="150"/>
      <c r="AT403" s="186"/>
      <c r="AU403" s="186"/>
      <c r="AV403" s="186"/>
      <c r="AW403" s="186"/>
      <c r="AX403" s="186"/>
      <c r="AY403" s="186"/>
      <c r="AZ403" s="186"/>
      <c r="BA403" s="186"/>
      <c r="BB403" s="186"/>
      <c r="BC403" s="186"/>
      <c r="BD403" s="186"/>
      <c r="BE403" s="186"/>
      <c r="BF403" s="150"/>
      <c r="BG403" s="150"/>
    </row>
    <row r="404" spans="3:59" ht="14.6">
      <c r="C404" s="289"/>
      <c r="D404" s="150"/>
      <c r="E404" s="150"/>
      <c r="F404" s="150"/>
      <c r="G404" s="150"/>
      <c r="H404" s="150"/>
      <c r="I404" s="150"/>
      <c r="J404" s="150"/>
      <c r="K404" s="150"/>
      <c r="L404" s="150"/>
      <c r="M404" s="150"/>
      <c r="N404" s="150"/>
      <c r="O404" s="150"/>
      <c r="P404" s="150"/>
      <c r="Q404" s="150"/>
      <c r="R404" s="150"/>
      <c r="S404" s="150"/>
      <c r="T404" s="186"/>
      <c r="U404" s="186"/>
      <c r="V404" s="186"/>
      <c r="W404" s="186"/>
      <c r="X404" s="186"/>
      <c r="Y404" s="186"/>
      <c r="Z404" s="186"/>
      <c r="AA404" s="186"/>
      <c r="AB404" s="186"/>
      <c r="AC404" s="186"/>
      <c r="AD404" s="186"/>
      <c r="AF404" s="150"/>
      <c r="AG404" s="150"/>
      <c r="AH404" s="150"/>
      <c r="AI404" s="150"/>
      <c r="AJ404" s="150"/>
      <c r="AK404" s="150"/>
      <c r="AL404" s="150"/>
      <c r="AM404" s="150"/>
      <c r="AN404" s="150"/>
      <c r="AO404" s="150"/>
      <c r="AP404" s="150"/>
      <c r="AQ404" s="150"/>
      <c r="AT404" s="186"/>
      <c r="AU404" s="186"/>
      <c r="AV404" s="186"/>
      <c r="AW404" s="186"/>
      <c r="AX404" s="186"/>
      <c r="AY404" s="186"/>
      <c r="AZ404" s="186"/>
      <c r="BA404" s="186"/>
      <c r="BB404" s="186"/>
      <c r="BC404" s="186"/>
      <c r="BD404" s="186"/>
      <c r="BE404" s="186"/>
      <c r="BF404" s="150"/>
      <c r="BG404" s="150"/>
    </row>
    <row r="405" spans="3:59" ht="14.6">
      <c r="C405" s="289"/>
      <c r="D405" s="150"/>
      <c r="E405" s="150"/>
      <c r="F405" s="150"/>
      <c r="G405" s="150"/>
      <c r="H405" s="150"/>
      <c r="I405" s="150"/>
      <c r="J405" s="150"/>
      <c r="K405" s="150"/>
      <c r="L405" s="150"/>
      <c r="M405" s="150"/>
      <c r="N405" s="150"/>
      <c r="O405" s="150"/>
      <c r="P405" s="150"/>
      <c r="Q405" s="150"/>
      <c r="R405" s="150"/>
      <c r="S405" s="150"/>
      <c r="T405" s="186"/>
      <c r="U405" s="186"/>
      <c r="V405" s="186"/>
      <c r="W405" s="186"/>
      <c r="X405" s="186"/>
      <c r="Y405" s="186"/>
      <c r="Z405" s="186"/>
      <c r="AA405" s="186"/>
      <c r="AB405" s="186"/>
      <c r="AC405" s="186"/>
      <c r="AD405" s="186"/>
      <c r="AF405" s="150"/>
      <c r="AG405" s="150"/>
      <c r="AH405" s="150"/>
      <c r="AI405" s="150"/>
      <c r="AJ405" s="150"/>
      <c r="AK405" s="150"/>
      <c r="AL405" s="150"/>
      <c r="AM405" s="150"/>
      <c r="AN405" s="150"/>
      <c r="AO405" s="150"/>
      <c r="AP405" s="150"/>
      <c r="AQ405" s="150"/>
      <c r="AT405" s="186"/>
      <c r="AU405" s="186"/>
      <c r="AV405" s="186"/>
      <c r="AW405" s="186"/>
      <c r="AX405" s="186"/>
      <c r="AY405" s="186"/>
      <c r="AZ405" s="186"/>
      <c r="BA405" s="186"/>
      <c r="BB405" s="186"/>
      <c r="BC405" s="186"/>
      <c r="BD405" s="186"/>
      <c r="BE405" s="186"/>
      <c r="BF405" s="150"/>
      <c r="BG405" s="150"/>
    </row>
    <row r="406" spans="3:59" ht="14.6">
      <c r="C406" s="289"/>
      <c r="D406" s="150"/>
      <c r="E406" s="150"/>
      <c r="F406" s="150"/>
      <c r="G406" s="150"/>
      <c r="H406" s="150"/>
      <c r="I406" s="150"/>
      <c r="J406" s="150"/>
      <c r="K406" s="150"/>
      <c r="L406" s="150"/>
      <c r="M406" s="150"/>
      <c r="N406" s="150"/>
      <c r="O406" s="150"/>
      <c r="P406" s="150"/>
      <c r="Q406" s="150"/>
      <c r="R406" s="150"/>
      <c r="S406" s="150"/>
      <c r="T406" s="186"/>
      <c r="U406" s="186"/>
      <c r="V406" s="186"/>
      <c r="W406" s="186"/>
      <c r="X406" s="186"/>
      <c r="Y406" s="186"/>
      <c r="Z406" s="186"/>
      <c r="AA406" s="186"/>
      <c r="AB406" s="186"/>
      <c r="AC406" s="186"/>
      <c r="AD406" s="186"/>
      <c r="AF406" s="150"/>
      <c r="AG406" s="150"/>
      <c r="AH406" s="150"/>
      <c r="AI406" s="150"/>
      <c r="AJ406" s="150"/>
      <c r="AK406" s="150"/>
      <c r="AL406" s="150"/>
      <c r="AM406" s="150"/>
      <c r="AN406" s="150"/>
      <c r="AO406" s="150"/>
      <c r="AP406" s="150"/>
      <c r="AQ406" s="150"/>
      <c r="AT406" s="186"/>
      <c r="AU406" s="186"/>
      <c r="AV406" s="186"/>
      <c r="AW406" s="186"/>
      <c r="AX406" s="186"/>
      <c r="AY406" s="186"/>
      <c r="AZ406" s="186"/>
      <c r="BA406" s="186"/>
      <c r="BB406" s="186"/>
      <c r="BC406" s="186"/>
      <c r="BD406" s="186"/>
      <c r="BE406" s="186"/>
      <c r="BF406" s="150"/>
      <c r="BG406" s="150"/>
    </row>
    <row r="407" spans="3:59" ht="14.6">
      <c r="C407" s="289"/>
      <c r="D407" s="150"/>
      <c r="E407" s="150"/>
      <c r="F407" s="150"/>
      <c r="G407" s="150"/>
      <c r="H407" s="150"/>
      <c r="I407" s="150"/>
      <c r="J407" s="150"/>
      <c r="K407" s="150"/>
      <c r="L407" s="150"/>
      <c r="M407" s="150"/>
      <c r="N407" s="150"/>
      <c r="O407" s="150"/>
      <c r="P407" s="150"/>
      <c r="Q407" s="150"/>
      <c r="R407" s="150"/>
      <c r="S407" s="150"/>
      <c r="T407" s="186"/>
      <c r="U407" s="186"/>
      <c r="V407" s="186"/>
      <c r="W407" s="186"/>
      <c r="X407" s="186"/>
      <c r="Y407" s="186"/>
      <c r="Z407" s="186"/>
      <c r="AA407" s="186"/>
      <c r="AB407" s="186"/>
      <c r="AC407" s="186"/>
      <c r="AD407" s="186"/>
      <c r="AF407" s="150"/>
      <c r="AG407" s="150"/>
      <c r="AH407" s="150"/>
      <c r="AI407" s="150"/>
      <c r="AJ407" s="150"/>
      <c r="AK407" s="150"/>
      <c r="AL407" s="150"/>
      <c r="AM407" s="150"/>
      <c r="AN407" s="150"/>
      <c r="AO407" s="150"/>
      <c r="AP407" s="150"/>
      <c r="AQ407" s="150"/>
      <c r="AT407" s="186"/>
      <c r="AU407" s="186"/>
      <c r="AV407" s="186"/>
      <c r="AW407" s="186"/>
      <c r="AX407" s="186"/>
      <c r="AY407" s="186"/>
      <c r="AZ407" s="186"/>
      <c r="BA407" s="186"/>
      <c r="BB407" s="186"/>
      <c r="BC407" s="186"/>
      <c r="BD407" s="186"/>
      <c r="BE407" s="186"/>
      <c r="BF407" s="150"/>
      <c r="BG407" s="150"/>
    </row>
    <row r="408" spans="3:59" ht="14.6">
      <c r="C408" s="289"/>
      <c r="D408" s="150"/>
      <c r="E408" s="150"/>
      <c r="F408" s="150"/>
      <c r="G408" s="150"/>
      <c r="H408" s="150"/>
      <c r="I408" s="150"/>
      <c r="J408" s="150"/>
      <c r="K408" s="150"/>
      <c r="L408" s="150"/>
      <c r="M408" s="150"/>
      <c r="N408" s="150"/>
      <c r="O408" s="150"/>
      <c r="P408" s="150"/>
      <c r="Q408" s="150"/>
      <c r="R408" s="150"/>
      <c r="S408" s="150"/>
      <c r="T408" s="186"/>
      <c r="U408" s="186"/>
      <c r="V408" s="186"/>
      <c r="W408" s="186"/>
      <c r="X408" s="186"/>
      <c r="Y408" s="186"/>
      <c r="Z408" s="186"/>
      <c r="AA408" s="186"/>
      <c r="AB408" s="186"/>
      <c r="AC408" s="186"/>
      <c r="AD408" s="186"/>
      <c r="AF408" s="150"/>
      <c r="AG408" s="150"/>
      <c r="AH408" s="150"/>
      <c r="AI408" s="150"/>
      <c r="AJ408" s="150"/>
      <c r="AK408" s="150"/>
      <c r="AL408" s="150"/>
      <c r="AM408" s="150"/>
      <c r="AN408" s="150"/>
      <c r="AO408" s="150"/>
      <c r="AP408" s="150"/>
      <c r="AQ408" s="150"/>
      <c r="AT408" s="186"/>
      <c r="AU408" s="186"/>
      <c r="AV408" s="186"/>
      <c r="AW408" s="186"/>
      <c r="AX408" s="186"/>
      <c r="AY408" s="186"/>
      <c r="AZ408" s="186"/>
      <c r="BA408" s="186"/>
      <c r="BB408" s="186"/>
      <c r="BC408" s="186"/>
      <c r="BD408" s="186"/>
      <c r="BE408" s="186"/>
      <c r="BF408" s="150"/>
      <c r="BG408" s="150"/>
    </row>
    <row r="409" spans="3:59" ht="14.6">
      <c r="C409" s="289"/>
      <c r="D409" s="150"/>
      <c r="E409" s="150"/>
      <c r="F409" s="150"/>
      <c r="G409" s="150"/>
      <c r="H409" s="150"/>
      <c r="I409" s="150"/>
      <c r="J409" s="150"/>
      <c r="K409" s="150"/>
      <c r="L409" s="150"/>
      <c r="M409" s="150"/>
      <c r="N409" s="150"/>
      <c r="O409" s="150"/>
      <c r="P409" s="150"/>
      <c r="Q409" s="150"/>
      <c r="R409" s="150"/>
      <c r="S409" s="150"/>
      <c r="T409" s="186"/>
      <c r="U409" s="186"/>
      <c r="V409" s="186"/>
      <c r="W409" s="186"/>
      <c r="X409" s="186"/>
      <c r="Y409" s="186"/>
      <c r="Z409" s="186"/>
      <c r="AA409" s="186"/>
      <c r="AB409" s="186"/>
      <c r="AC409" s="186"/>
      <c r="AD409" s="186"/>
      <c r="AF409" s="150"/>
      <c r="AG409" s="150"/>
      <c r="AH409" s="150"/>
      <c r="AI409" s="150"/>
      <c r="AJ409" s="150"/>
      <c r="AK409" s="150"/>
      <c r="AL409" s="150"/>
      <c r="AM409" s="150"/>
      <c r="AN409" s="150"/>
      <c r="AO409" s="150"/>
      <c r="AP409" s="150"/>
      <c r="AQ409" s="150"/>
      <c r="AT409" s="186"/>
      <c r="AU409" s="186"/>
      <c r="AV409" s="186"/>
      <c r="AW409" s="186"/>
      <c r="AX409" s="186"/>
      <c r="AY409" s="186"/>
      <c r="AZ409" s="186"/>
      <c r="BA409" s="186"/>
      <c r="BB409" s="186"/>
      <c r="BC409" s="186"/>
      <c r="BD409" s="186"/>
      <c r="BE409" s="186"/>
      <c r="BF409" s="150"/>
      <c r="BG409" s="150"/>
    </row>
    <row r="410" spans="3:59" ht="14.6">
      <c r="C410" s="289"/>
      <c r="D410" s="150"/>
      <c r="E410" s="150"/>
      <c r="F410" s="150"/>
      <c r="G410" s="150"/>
      <c r="H410" s="150"/>
      <c r="I410" s="150"/>
      <c r="J410" s="150"/>
      <c r="K410" s="150"/>
      <c r="L410" s="150"/>
      <c r="M410" s="150"/>
      <c r="N410" s="150"/>
      <c r="O410" s="150"/>
      <c r="P410" s="150"/>
      <c r="Q410" s="150"/>
      <c r="R410" s="150"/>
      <c r="S410" s="150"/>
      <c r="T410" s="186"/>
      <c r="U410" s="186"/>
      <c r="V410" s="186"/>
      <c r="W410" s="186"/>
      <c r="X410" s="186"/>
      <c r="Y410" s="186"/>
      <c r="Z410" s="186"/>
      <c r="AA410" s="186"/>
      <c r="AB410" s="186"/>
      <c r="AC410" s="186"/>
      <c r="AD410" s="186"/>
      <c r="AF410" s="150"/>
      <c r="AG410" s="150"/>
      <c r="AH410" s="150"/>
      <c r="AI410" s="150"/>
      <c r="AJ410" s="150"/>
      <c r="AK410" s="150"/>
      <c r="AL410" s="150"/>
      <c r="AM410" s="150"/>
      <c r="AN410" s="150"/>
      <c r="AO410" s="150"/>
      <c r="AP410" s="150"/>
      <c r="AQ410" s="150"/>
      <c r="AT410" s="186"/>
      <c r="AU410" s="186"/>
      <c r="AV410" s="186"/>
      <c r="AW410" s="186"/>
      <c r="AX410" s="186"/>
      <c r="AY410" s="186"/>
      <c r="AZ410" s="186"/>
      <c r="BA410" s="186"/>
      <c r="BB410" s="186"/>
      <c r="BC410" s="186"/>
      <c r="BD410" s="186"/>
      <c r="BE410" s="186"/>
      <c r="BF410" s="150"/>
      <c r="BG410" s="150"/>
    </row>
    <row r="411" spans="3:59" ht="14.6">
      <c r="C411" s="289"/>
      <c r="D411" s="150"/>
      <c r="E411" s="150"/>
      <c r="F411" s="150"/>
      <c r="G411" s="150"/>
      <c r="H411" s="150"/>
      <c r="I411" s="150"/>
      <c r="J411" s="150"/>
      <c r="K411" s="150"/>
      <c r="L411" s="150"/>
      <c r="M411" s="150"/>
      <c r="N411" s="150"/>
      <c r="O411" s="150"/>
      <c r="P411" s="150"/>
      <c r="Q411" s="150"/>
      <c r="R411" s="150"/>
      <c r="S411" s="150"/>
      <c r="T411" s="186"/>
      <c r="U411" s="186"/>
      <c r="V411" s="186"/>
      <c r="W411" s="186"/>
      <c r="X411" s="186"/>
      <c r="Y411" s="186"/>
      <c r="Z411" s="186"/>
      <c r="AA411" s="186"/>
      <c r="AB411" s="186"/>
      <c r="AC411" s="186"/>
      <c r="AD411" s="186"/>
      <c r="AF411" s="150"/>
      <c r="AG411" s="150"/>
      <c r="AH411" s="150"/>
      <c r="AI411" s="150"/>
      <c r="AJ411" s="150"/>
      <c r="AK411" s="150"/>
      <c r="AL411" s="150"/>
      <c r="AM411" s="150"/>
      <c r="AN411" s="150"/>
      <c r="AO411" s="150"/>
      <c r="AP411" s="150"/>
      <c r="AQ411" s="150"/>
      <c r="AT411" s="186"/>
      <c r="AU411" s="186"/>
      <c r="AV411" s="186"/>
      <c r="AW411" s="186"/>
      <c r="AX411" s="186"/>
      <c r="AY411" s="186"/>
      <c r="AZ411" s="186"/>
      <c r="BA411" s="186"/>
      <c r="BB411" s="186"/>
      <c r="BC411" s="186"/>
      <c r="BD411" s="186"/>
      <c r="BE411" s="186"/>
      <c r="BF411" s="150"/>
      <c r="BG411" s="150"/>
    </row>
    <row r="412" spans="3:59" ht="14.6">
      <c r="C412" s="289"/>
      <c r="D412" s="150"/>
      <c r="E412" s="150"/>
      <c r="F412" s="150"/>
      <c r="G412" s="150"/>
      <c r="H412" s="150"/>
      <c r="I412" s="150"/>
      <c r="J412" s="150"/>
      <c r="K412" s="150"/>
      <c r="L412" s="150"/>
      <c r="M412" s="150"/>
      <c r="N412" s="150"/>
      <c r="O412" s="150"/>
      <c r="P412" s="150"/>
      <c r="Q412" s="150"/>
      <c r="R412" s="150"/>
      <c r="S412" s="150"/>
      <c r="T412" s="186"/>
      <c r="U412" s="186"/>
      <c r="V412" s="186"/>
      <c r="W412" s="186"/>
      <c r="X412" s="186"/>
      <c r="Y412" s="186"/>
      <c r="Z412" s="186"/>
      <c r="AA412" s="186"/>
      <c r="AB412" s="186"/>
      <c r="AC412" s="186"/>
      <c r="AD412" s="186"/>
      <c r="AF412" s="150"/>
      <c r="AG412" s="150"/>
      <c r="AH412" s="150"/>
      <c r="AI412" s="150"/>
      <c r="AJ412" s="150"/>
      <c r="AK412" s="150"/>
      <c r="AL412" s="150"/>
      <c r="AM412" s="150"/>
      <c r="AN412" s="150"/>
      <c r="AO412" s="150"/>
      <c r="AP412" s="150"/>
      <c r="AQ412" s="150"/>
      <c r="AT412" s="186"/>
      <c r="AU412" s="186"/>
      <c r="AV412" s="186"/>
      <c r="AW412" s="186"/>
      <c r="AX412" s="186"/>
      <c r="AY412" s="186"/>
      <c r="AZ412" s="186"/>
      <c r="BA412" s="186"/>
      <c r="BB412" s="186"/>
      <c r="BC412" s="186"/>
      <c r="BD412" s="186"/>
      <c r="BE412" s="186"/>
      <c r="BF412" s="150"/>
      <c r="BG412" s="150"/>
    </row>
    <row r="413" spans="3:59" ht="14.6">
      <c r="C413" s="289"/>
      <c r="D413" s="150"/>
      <c r="E413" s="150"/>
      <c r="F413" s="150"/>
      <c r="G413" s="150"/>
      <c r="H413" s="150"/>
      <c r="I413" s="150"/>
      <c r="J413" s="150"/>
      <c r="K413" s="150"/>
      <c r="L413" s="150"/>
      <c r="M413" s="150"/>
      <c r="N413" s="150"/>
      <c r="O413" s="150"/>
      <c r="P413" s="150"/>
      <c r="Q413" s="150"/>
      <c r="R413" s="150"/>
      <c r="S413" s="150"/>
      <c r="T413" s="186"/>
      <c r="U413" s="186"/>
      <c r="V413" s="186"/>
      <c r="W413" s="186"/>
      <c r="X413" s="186"/>
      <c r="Y413" s="186"/>
      <c r="Z413" s="186"/>
      <c r="AA413" s="186"/>
      <c r="AB413" s="186"/>
      <c r="AC413" s="186"/>
      <c r="AD413" s="186"/>
      <c r="AF413" s="150"/>
      <c r="AG413" s="150"/>
      <c r="AH413" s="150"/>
      <c r="AI413" s="150"/>
      <c r="AJ413" s="150"/>
      <c r="AK413" s="150"/>
      <c r="AL413" s="150"/>
      <c r="AM413" s="150"/>
      <c r="AN413" s="150"/>
      <c r="AO413" s="150"/>
      <c r="AP413" s="150"/>
      <c r="AQ413" s="150"/>
      <c r="AT413" s="186"/>
      <c r="AU413" s="186"/>
      <c r="AV413" s="186"/>
      <c r="AW413" s="186"/>
      <c r="AX413" s="186"/>
      <c r="AY413" s="186"/>
      <c r="AZ413" s="186"/>
      <c r="BA413" s="186"/>
      <c r="BB413" s="186"/>
      <c r="BC413" s="186"/>
      <c r="BD413" s="186"/>
      <c r="BE413" s="186"/>
      <c r="BF413" s="150"/>
      <c r="BG413" s="150"/>
    </row>
    <row r="414" spans="3:59" ht="14.6">
      <c r="C414" s="289"/>
      <c r="D414" s="150"/>
      <c r="E414" s="150"/>
      <c r="F414" s="150"/>
      <c r="G414" s="150"/>
      <c r="H414" s="150"/>
      <c r="I414" s="150"/>
      <c r="J414" s="150"/>
      <c r="K414" s="150"/>
      <c r="L414" s="150"/>
      <c r="M414" s="150"/>
      <c r="N414" s="150"/>
      <c r="O414" s="150"/>
      <c r="P414" s="150"/>
      <c r="Q414" s="150"/>
      <c r="R414" s="150"/>
      <c r="S414" s="150"/>
      <c r="T414" s="186"/>
      <c r="U414" s="186"/>
      <c r="V414" s="186"/>
      <c r="W414" s="186"/>
      <c r="X414" s="186"/>
      <c r="Y414" s="186"/>
      <c r="Z414" s="186"/>
      <c r="AA414" s="186"/>
      <c r="AB414" s="186"/>
      <c r="AC414" s="186"/>
      <c r="AD414" s="186"/>
      <c r="AF414" s="150"/>
      <c r="AG414" s="150"/>
      <c r="AH414" s="150"/>
      <c r="AI414" s="150"/>
      <c r="AJ414" s="150"/>
      <c r="AK414" s="150"/>
      <c r="AL414" s="150"/>
      <c r="AM414" s="150"/>
      <c r="AN414" s="150"/>
      <c r="AO414" s="150"/>
      <c r="AP414" s="150"/>
      <c r="AQ414" s="150"/>
      <c r="AT414" s="186"/>
      <c r="AU414" s="186"/>
      <c r="AV414" s="186"/>
      <c r="AW414" s="186"/>
      <c r="AX414" s="186"/>
      <c r="AY414" s="186"/>
      <c r="AZ414" s="186"/>
      <c r="BA414" s="186"/>
      <c r="BB414" s="186"/>
      <c r="BC414" s="186"/>
      <c r="BD414" s="186"/>
      <c r="BE414" s="186"/>
      <c r="BF414" s="150"/>
      <c r="BG414" s="150"/>
    </row>
    <row r="415" spans="3:59" ht="14.6">
      <c r="C415" s="289"/>
      <c r="D415" s="150"/>
      <c r="E415" s="150"/>
      <c r="F415" s="150"/>
      <c r="G415" s="150"/>
      <c r="H415" s="150"/>
      <c r="I415" s="150"/>
      <c r="J415" s="150"/>
      <c r="K415" s="150"/>
      <c r="L415" s="150"/>
      <c r="M415" s="150"/>
      <c r="N415" s="150"/>
      <c r="O415" s="150"/>
      <c r="P415" s="150"/>
      <c r="Q415" s="150"/>
      <c r="R415" s="150"/>
      <c r="S415" s="150"/>
      <c r="T415" s="186"/>
      <c r="U415" s="186"/>
      <c r="V415" s="186"/>
      <c r="W415" s="186"/>
      <c r="X415" s="186"/>
      <c r="Y415" s="186"/>
      <c r="Z415" s="186"/>
      <c r="AA415" s="186"/>
      <c r="AB415" s="186"/>
      <c r="AC415" s="186"/>
      <c r="AD415" s="186"/>
      <c r="AF415" s="150"/>
      <c r="AG415" s="150"/>
      <c r="AH415" s="150"/>
      <c r="AI415" s="150"/>
      <c r="AJ415" s="150"/>
      <c r="AK415" s="150"/>
      <c r="AL415" s="150"/>
      <c r="AM415" s="150"/>
      <c r="AN415" s="150"/>
      <c r="AO415" s="150"/>
      <c r="AP415" s="150"/>
      <c r="AQ415" s="150"/>
      <c r="AT415" s="186"/>
      <c r="AU415" s="186"/>
      <c r="AV415" s="186"/>
      <c r="AW415" s="186"/>
      <c r="AX415" s="186"/>
      <c r="AY415" s="186"/>
      <c r="AZ415" s="186"/>
      <c r="BA415" s="186"/>
      <c r="BB415" s="186"/>
      <c r="BC415" s="186"/>
      <c r="BD415" s="186"/>
      <c r="BE415" s="186"/>
      <c r="BF415" s="150"/>
      <c r="BG415" s="150"/>
    </row>
    <row r="416" spans="3:59" ht="14.6">
      <c r="C416" s="289"/>
      <c r="D416" s="150"/>
      <c r="E416" s="150"/>
      <c r="F416" s="150"/>
      <c r="G416" s="150"/>
      <c r="H416" s="150"/>
      <c r="I416" s="150"/>
      <c r="J416" s="150"/>
      <c r="K416" s="150"/>
      <c r="L416" s="150"/>
      <c r="M416" s="150"/>
      <c r="N416" s="150"/>
      <c r="O416" s="150"/>
      <c r="P416" s="150"/>
      <c r="Q416" s="150"/>
      <c r="R416" s="150"/>
      <c r="S416" s="150"/>
      <c r="T416" s="186"/>
      <c r="U416" s="186"/>
      <c r="V416" s="186"/>
      <c r="W416" s="186"/>
      <c r="X416" s="186"/>
      <c r="Y416" s="186"/>
      <c r="Z416" s="186"/>
      <c r="AA416" s="186"/>
      <c r="AB416" s="186"/>
      <c r="AC416" s="186"/>
      <c r="AD416" s="186"/>
      <c r="AF416" s="150"/>
      <c r="AG416" s="150"/>
      <c r="AH416" s="150"/>
      <c r="AI416" s="150"/>
      <c r="AJ416" s="150"/>
      <c r="AK416" s="150"/>
      <c r="AL416" s="150"/>
      <c r="AM416" s="150"/>
      <c r="AN416" s="150"/>
      <c r="AO416" s="150"/>
      <c r="AP416" s="150"/>
      <c r="AQ416" s="150"/>
      <c r="AT416" s="186"/>
      <c r="AU416" s="186"/>
      <c r="AV416" s="186"/>
      <c r="AW416" s="186"/>
      <c r="AX416" s="186"/>
      <c r="AY416" s="186"/>
      <c r="AZ416" s="186"/>
      <c r="BA416" s="186"/>
      <c r="BB416" s="186"/>
      <c r="BC416" s="186"/>
      <c r="BD416" s="186"/>
      <c r="BE416" s="186"/>
      <c r="BF416" s="150"/>
      <c r="BG416" s="150"/>
    </row>
    <row r="417" spans="3:59" ht="14.6">
      <c r="C417" s="289"/>
      <c r="D417" s="150"/>
      <c r="E417" s="150"/>
      <c r="F417" s="150"/>
      <c r="G417" s="150"/>
      <c r="H417" s="150"/>
      <c r="I417" s="150"/>
      <c r="J417" s="150"/>
      <c r="K417" s="150"/>
      <c r="L417" s="150"/>
      <c r="M417" s="150"/>
      <c r="N417" s="150"/>
      <c r="O417" s="150"/>
      <c r="P417" s="150"/>
      <c r="Q417" s="150"/>
      <c r="R417" s="150"/>
      <c r="S417" s="150"/>
      <c r="T417" s="186"/>
      <c r="U417" s="186"/>
      <c r="V417" s="186"/>
      <c r="W417" s="186"/>
      <c r="X417" s="186"/>
      <c r="Y417" s="186"/>
      <c r="Z417" s="186"/>
      <c r="AA417" s="186"/>
      <c r="AB417" s="186"/>
      <c r="AC417" s="186"/>
      <c r="AD417" s="186"/>
      <c r="AF417" s="150"/>
      <c r="AG417" s="150"/>
      <c r="AH417" s="150"/>
      <c r="AI417" s="150"/>
      <c r="AJ417" s="150"/>
      <c r="AK417" s="150"/>
      <c r="AL417" s="150"/>
      <c r="AM417" s="150"/>
      <c r="AN417" s="150"/>
      <c r="AO417" s="150"/>
      <c r="AP417" s="150"/>
      <c r="AQ417" s="150"/>
      <c r="AT417" s="186"/>
      <c r="AU417" s="186"/>
      <c r="AV417" s="186"/>
      <c r="AW417" s="186"/>
      <c r="AX417" s="186"/>
      <c r="AY417" s="186"/>
      <c r="AZ417" s="186"/>
      <c r="BA417" s="186"/>
      <c r="BB417" s="186"/>
      <c r="BC417" s="186"/>
      <c r="BD417" s="186"/>
      <c r="BE417" s="186"/>
      <c r="BF417" s="150"/>
      <c r="BG417" s="150"/>
    </row>
    <row r="418" spans="3:59" ht="14.6">
      <c r="C418" s="289"/>
      <c r="D418" s="150"/>
      <c r="E418" s="150"/>
      <c r="F418" s="150"/>
      <c r="G418" s="150"/>
      <c r="H418" s="150"/>
      <c r="I418" s="150"/>
      <c r="J418" s="150"/>
      <c r="K418" s="150"/>
      <c r="L418" s="150"/>
      <c r="M418" s="150"/>
      <c r="N418" s="150"/>
      <c r="O418" s="150"/>
      <c r="P418" s="150"/>
      <c r="Q418" s="150"/>
      <c r="R418" s="150"/>
      <c r="S418" s="150"/>
      <c r="T418" s="186"/>
      <c r="U418" s="186"/>
      <c r="V418" s="186"/>
      <c r="W418" s="186"/>
      <c r="X418" s="186"/>
      <c r="Y418" s="186"/>
      <c r="Z418" s="186"/>
      <c r="AA418" s="186"/>
      <c r="AB418" s="186"/>
      <c r="AC418" s="186"/>
      <c r="AD418" s="186"/>
      <c r="AF418" s="150"/>
      <c r="AG418" s="150"/>
      <c r="AH418" s="150"/>
      <c r="AI418" s="150"/>
      <c r="AJ418" s="150"/>
      <c r="AK418" s="150"/>
      <c r="AL418" s="150"/>
      <c r="AM418" s="150"/>
      <c r="AN418" s="150"/>
      <c r="AO418" s="150"/>
      <c r="AP418" s="150"/>
      <c r="AQ418" s="150"/>
      <c r="AT418" s="186"/>
      <c r="AU418" s="186"/>
      <c r="AV418" s="186"/>
      <c r="AW418" s="186"/>
      <c r="AX418" s="186"/>
      <c r="AY418" s="186"/>
      <c r="AZ418" s="186"/>
      <c r="BA418" s="186"/>
      <c r="BB418" s="186"/>
      <c r="BC418" s="186"/>
      <c r="BD418" s="186"/>
      <c r="BE418" s="186"/>
      <c r="BF418" s="150"/>
      <c r="BG418" s="150"/>
    </row>
    <row r="419" spans="3:59" ht="14.6">
      <c r="C419" s="289"/>
      <c r="D419" s="150"/>
      <c r="E419" s="150"/>
      <c r="F419" s="150"/>
      <c r="G419" s="150"/>
      <c r="H419" s="150"/>
      <c r="I419" s="150"/>
      <c r="J419" s="150"/>
      <c r="K419" s="150"/>
      <c r="L419" s="150"/>
      <c r="M419" s="150"/>
      <c r="N419" s="150"/>
      <c r="O419" s="150"/>
      <c r="P419" s="150"/>
      <c r="Q419" s="150"/>
      <c r="R419" s="150"/>
      <c r="S419" s="150"/>
      <c r="T419" s="186"/>
      <c r="U419" s="186"/>
      <c r="V419" s="186"/>
      <c r="W419" s="186"/>
      <c r="X419" s="186"/>
      <c r="Y419" s="186"/>
      <c r="Z419" s="186"/>
      <c r="AA419" s="186"/>
      <c r="AB419" s="186"/>
      <c r="AC419" s="186"/>
      <c r="AD419" s="186"/>
      <c r="AF419" s="150"/>
      <c r="AG419" s="150"/>
      <c r="AH419" s="150"/>
      <c r="AI419" s="150"/>
      <c r="AJ419" s="150"/>
      <c r="AK419" s="150"/>
      <c r="AL419" s="150"/>
      <c r="AM419" s="150"/>
      <c r="AN419" s="150"/>
      <c r="AO419" s="150"/>
      <c r="AP419" s="150"/>
      <c r="AQ419" s="150"/>
      <c r="AT419" s="186"/>
      <c r="AU419" s="186"/>
      <c r="AV419" s="186"/>
      <c r="AW419" s="186"/>
      <c r="AX419" s="186"/>
      <c r="AY419" s="186"/>
      <c r="AZ419" s="186"/>
      <c r="BA419" s="186"/>
      <c r="BB419" s="186"/>
      <c r="BC419" s="186"/>
      <c r="BD419" s="186"/>
      <c r="BE419" s="186"/>
      <c r="BF419" s="150"/>
      <c r="BG419" s="150"/>
    </row>
    <row r="420" spans="3:59" ht="14.6">
      <c r="C420" s="289"/>
      <c r="D420" s="150"/>
      <c r="E420" s="150"/>
      <c r="F420" s="150"/>
      <c r="G420" s="150"/>
      <c r="H420" s="150"/>
      <c r="I420" s="150"/>
      <c r="J420" s="150"/>
      <c r="K420" s="150"/>
      <c r="L420" s="150"/>
      <c r="M420" s="150"/>
      <c r="N420" s="150"/>
      <c r="O420" s="150"/>
      <c r="P420" s="150"/>
      <c r="Q420" s="150"/>
      <c r="R420" s="150"/>
      <c r="S420" s="150"/>
      <c r="T420" s="186"/>
      <c r="U420" s="186"/>
      <c r="V420" s="186"/>
      <c r="W420" s="186"/>
      <c r="X420" s="186"/>
      <c r="Y420" s="186"/>
      <c r="Z420" s="186"/>
      <c r="AA420" s="186"/>
      <c r="AB420" s="186"/>
      <c r="AC420" s="186"/>
      <c r="AD420" s="186"/>
      <c r="AF420" s="150"/>
      <c r="AG420" s="150"/>
      <c r="AH420" s="150"/>
      <c r="AI420" s="150"/>
      <c r="AJ420" s="150"/>
      <c r="AK420" s="150"/>
      <c r="AL420" s="150"/>
      <c r="AM420" s="150"/>
      <c r="AN420" s="150"/>
      <c r="AO420" s="150"/>
      <c r="AP420" s="150"/>
      <c r="AQ420" s="150"/>
      <c r="AT420" s="186"/>
      <c r="AU420" s="186"/>
      <c r="AV420" s="186"/>
      <c r="AW420" s="186"/>
      <c r="AX420" s="186"/>
      <c r="AY420" s="186"/>
      <c r="AZ420" s="186"/>
      <c r="BA420" s="186"/>
      <c r="BB420" s="186"/>
      <c r="BC420" s="186"/>
      <c r="BD420" s="186"/>
      <c r="BE420" s="186"/>
      <c r="BF420" s="150"/>
      <c r="BG420" s="150"/>
    </row>
    <row r="421" spans="3:59" ht="14.6">
      <c r="C421" s="289"/>
      <c r="D421" s="150"/>
      <c r="E421" s="150"/>
      <c r="F421" s="150"/>
      <c r="G421" s="150"/>
      <c r="H421" s="150"/>
      <c r="I421" s="150"/>
      <c r="J421" s="150"/>
      <c r="K421" s="150"/>
      <c r="L421" s="150"/>
      <c r="M421" s="150"/>
      <c r="N421" s="150"/>
      <c r="O421" s="150"/>
      <c r="P421" s="150"/>
      <c r="Q421" s="150"/>
      <c r="R421" s="150"/>
      <c r="S421" s="150"/>
      <c r="T421" s="186"/>
      <c r="U421" s="186"/>
      <c r="V421" s="186"/>
      <c r="W421" s="186"/>
      <c r="X421" s="186"/>
      <c r="Y421" s="186"/>
      <c r="Z421" s="186"/>
      <c r="AA421" s="186"/>
      <c r="AB421" s="186"/>
      <c r="AC421" s="186"/>
      <c r="AD421" s="186"/>
      <c r="AF421" s="150"/>
      <c r="AG421" s="150"/>
      <c r="AH421" s="150"/>
      <c r="AI421" s="150"/>
      <c r="AJ421" s="150"/>
      <c r="AK421" s="150"/>
      <c r="AL421" s="150"/>
      <c r="AM421" s="150"/>
      <c r="AN421" s="150"/>
      <c r="AO421" s="150"/>
      <c r="AP421" s="150"/>
      <c r="AQ421" s="150"/>
      <c r="AT421" s="186"/>
      <c r="AU421" s="186"/>
      <c r="AV421" s="186"/>
      <c r="AW421" s="186"/>
      <c r="AX421" s="186"/>
      <c r="AY421" s="186"/>
      <c r="AZ421" s="186"/>
      <c r="BA421" s="186"/>
      <c r="BB421" s="186"/>
      <c r="BC421" s="186"/>
      <c r="BD421" s="186"/>
      <c r="BE421" s="186"/>
      <c r="BF421" s="150"/>
      <c r="BG421" s="150"/>
    </row>
    <row r="422" spans="3:59" ht="14.6">
      <c r="C422" s="289"/>
      <c r="D422" s="150"/>
      <c r="E422" s="150"/>
      <c r="F422" s="150"/>
      <c r="G422" s="150"/>
      <c r="H422" s="150"/>
      <c r="I422" s="150"/>
      <c r="J422" s="150"/>
      <c r="K422" s="150"/>
      <c r="L422" s="150"/>
      <c r="M422" s="150"/>
      <c r="N422" s="150"/>
      <c r="O422" s="150"/>
      <c r="P422" s="150"/>
      <c r="Q422" s="150"/>
      <c r="R422" s="150"/>
      <c r="S422" s="150"/>
      <c r="T422" s="186"/>
      <c r="U422" s="186"/>
      <c r="V422" s="186"/>
      <c r="W422" s="186"/>
      <c r="X422" s="186"/>
      <c r="Y422" s="186"/>
      <c r="Z422" s="186"/>
      <c r="AA422" s="186"/>
      <c r="AB422" s="186"/>
      <c r="AC422" s="186"/>
      <c r="AD422" s="186"/>
      <c r="AF422" s="150"/>
      <c r="AG422" s="150"/>
      <c r="AH422" s="150"/>
      <c r="AI422" s="150"/>
      <c r="AJ422" s="150"/>
      <c r="AK422" s="150"/>
      <c r="AL422" s="150"/>
      <c r="AM422" s="150"/>
      <c r="AN422" s="150"/>
      <c r="AO422" s="150"/>
      <c r="AP422" s="150"/>
      <c r="AQ422" s="150"/>
      <c r="AT422" s="186"/>
      <c r="AU422" s="186"/>
      <c r="AV422" s="186"/>
      <c r="AW422" s="186"/>
      <c r="AX422" s="186"/>
      <c r="AY422" s="186"/>
      <c r="AZ422" s="186"/>
      <c r="BA422" s="186"/>
      <c r="BB422" s="186"/>
      <c r="BC422" s="186"/>
      <c r="BD422" s="186"/>
      <c r="BE422" s="186"/>
      <c r="BF422" s="150"/>
      <c r="BG422" s="150"/>
    </row>
    <row r="423" spans="3:59" ht="14.6">
      <c r="C423" s="289"/>
      <c r="D423" s="150"/>
      <c r="E423" s="150"/>
      <c r="F423" s="150"/>
      <c r="G423" s="150"/>
      <c r="H423" s="150"/>
      <c r="I423" s="150"/>
      <c r="J423" s="150"/>
      <c r="K423" s="150"/>
      <c r="L423" s="150"/>
      <c r="M423" s="150"/>
      <c r="N423" s="150"/>
      <c r="O423" s="150"/>
      <c r="P423" s="150"/>
      <c r="Q423" s="150"/>
      <c r="R423" s="150"/>
      <c r="S423" s="150"/>
      <c r="T423" s="186"/>
      <c r="U423" s="186"/>
      <c r="V423" s="186"/>
      <c r="W423" s="186"/>
      <c r="X423" s="186"/>
      <c r="Y423" s="186"/>
      <c r="Z423" s="186"/>
      <c r="AA423" s="186"/>
      <c r="AB423" s="186"/>
      <c r="AC423" s="186"/>
      <c r="AD423" s="186"/>
      <c r="AF423" s="150"/>
      <c r="AG423" s="150"/>
      <c r="AH423" s="150"/>
      <c r="AI423" s="150"/>
      <c r="AJ423" s="150"/>
      <c r="AK423" s="150"/>
      <c r="AL423" s="150"/>
      <c r="AM423" s="150"/>
      <c r="AN423" s="150"/>
      <c r="AO423" s="150"/>
      <c r="AP423" s="150"/>
      <c r="AQ423" s="150"/>
      <c r="AT423" s="186"/>
      <c r="AU423" s="186"/>
      <c r="AV423" s="186"/>
      <c r="AW423" s="186"/>
      <c r="AX423" s="186"/>
      <c r="AY423" s="186"/>
      <c r="AZ423" s="186"/>
      <c r="BA423" s="186"/>
      <c r="BB423" s="186"/>
      <c r="BC423" s="186"/>
      <c r="BD423" s="186"/>
      <c r="BE423" s="186"/>
      <c r="BF423" s="150"/>
      <c r="BG423" s="150"/>
    </row>
    <row r="424" spans="3:59" ht="14.6">
      <c r="C424" s="289"/>
      <c r="D424" s="150"/>
      <c r="E424" s="150"/>
      <c r="F424" s="150"/>
      <c r="G424" s="150"/>
      <c r="H424" s="150"/>
      <c r="I424" s="150"/>
      <c r="J424" s="150"/>
      <c r="K424" s="150"/>
      <c r="L424" s="150"/>
      <c r="M424" s="150"/>
      <c r="N424" s="150"/>
      <c r="O424" s="150"/>
      <c r="P424" s="150"/>
      <c r="Q424" s="150"/>
      <c r="R424" s="150"/>
      <c r="S424" s="150"/>
      <c r="T424" s="186"/>
      <c r="U424" s="186"/>
      <c r="V424" s="186"/>
      <c r="W424" s="186"/>
      <c r="X424" s="186"/>
      <c r="Y424" s="186"/>
      <c r="Z424" s="186"/>
      <c r="AA424" s="186"/>
      <c r="AB424" s="186"/>
      <c r="AC424" s="186"/>
      <c r="AD424" s="186"/>
      <c r="AF424" s="150"/>
      <c r="AG424" s="150"/>
      <c r="AH424" s="150"/>
      <c r="AI424" s="150"/>
      <c r="AJ424" s="150"/>
      <c r="AK424" s="150"/>
      <c r="AL424" s="150"/>
      <c r="AM424" s="150"/>
      <c r="AN424" s="150"/>
      <c r="AO424" s="150"/>
      <c r="AP424" s="150"/>
      <c r="AQ424" s="150"/>
      <c r="AT424" s="186"/>
      <c r="AU424" s="186"/>
      <c r="AV424" s="186"/>
      <c r="AW424" s="186"/>
      <c r="AX424" s="186"/>
      <c r="AY424" s="186"/>
      <c r="AZ424" s="186"/>
      <c r="BA424" s="186"/>
      <c r="BB424" s="186"/>
      <c r="BC424" s="186"/>
      <c r="BD424" s="186"/>
      <c r="BE424" s="186"/>
      <c r="BF424" s="150"/>
      <c r="BG424" s="150"/>
    </row>
    <row r="425" spans="3:59" ht="14.6">
      <c r="C425" s="289"/>
      <c r="D425" s="150"/>
      <c r="E425" s="150"/>
      <c r="F425" s="150"/>
      <c r="G425" s="150"/>
      <c r="H425" s="150"/>
      <c r="I425" s="150"/>
      <c r="J425" s="150"/>
      <c r="K425" s="150"/>
      <c r="L425" s="150"/>
      <c r="M425" s="150"/>
      <c r="N425" s="150"/>
      <c r="O425" s="150"/>
      <c r="P425" s="150"/>
      <c r="Q425" s="150"/>
      <c r="R425" s="150"/>
      <c r="S425" s="150"/>
      <c r="T425" s="186"/>
      <c r="U425" s="186"/>
      <c r="V425" s="186"/>
      <c r="W425" s="186"/>
      <c r="X425" s="186"/>
      <c r="Y425" s="186"/>
      <c r="Z425" s="186"/>
      <c r="AA425" s="186"/>
      <c r="AB425" s="186"/>
      <c r="AC425" s="186"/>
      <c r="AD425" s="186"/>
      <c r="AF425" s="150"/>
      <c r="AG425" s="150"/>
      <c r="AH425" s="150"/>
      <c r="AI425" s="150"/>
      <c r="AJ425" s="150"/>
      <c r="AK425" s="150"/>
      <c r="AL425" s="150"/>
      <c r="AM425" s="150"/>
      <c r="AN425" s="150"/>
      <c r="AO425" s="150"/>
      <c r="AP425" s="150"/>
      <c r="AQ425" s="150"/>
      <c r="AT425" s="186"/>
      <c r="AU425" s="186"/>
      <c r="AV425" s="186"/>
      <c r="AW425" s="186"/>
      <c r="AX425" s="186"/>
      <c r="AY425" s="186"/>
      <c r="AZ425" s="186"/>
      <c r="BA425" s="186"/>
      <c r="BB425" s="186"/>
      <c r="BC425" s="186"/>
      <c r="BD425" s="186"/>
      <c r="BE425" s="186"/>
      <c r="BF425" s="150"/>
      <c r="BG425" s="150"/>
    </row>
    <row r="426" spans="3:59" ht="14.6">
      <c r="C426" s="289"/>
      <c r="D426" s="150"/>
      <c r="E426" s="150"/>
      <c r="F426" s="150"/>
      <c r="G426" s="150"/>
      <c r="H426" s="150"/>
      <c r="I426" s="150"/>
      <c r="J426" s="150"/>
      <c r="K426" s="150"/>
      <c r="L426" s="150"/>
      <c r="M426" s="150"/>
      <c r="N426" s="150"/>
      <c r="O426" s="150"/>
      <c r="P426" s="150"/>
      <c r="Q426" s="150"/>
      <c r="R426" s="150"/>
      <c r="S426" s="150"/>
      <c r="T426" s="186"/>
      <c r="U426" s="186"/>
      <c r="V426" s="186"/>
      <c r="W426" s="186"/>
      <c r="X426" s="186"/>
      <c r="Y426" s="186"/>
      <c r="Z426" s="186"/>
      <c r="AA426" s="186"/>
      <c r="AB426" s="186"/>
      <c r="AC426" s="186"/>
      <c r="AD426" s="186"/>
      <c r="AF426" s="150"/>
      <c r="AG426" s="150"/>
      <c r="AH426" s="150"/>
      <c r="AI426" s="150"/>
      <c r="AJ426" s="150"/>
      <c r="AK426" s="150"/>
      <c r="AL426" s="150"/>
      <c r="AM426" s="150"/>
      <c r="AN426" s="150"/>
      <c r="AO426" s="150"/>
      <c r="AP426" s="150"/>
      <c r="AQ426" s="150"/>
      <c r="AT426" s="186"/>
      <c r="AU426" s="186"/>
      <c r="AV426" s="186"/>
      <c r="AW426" s="186"/>
      <c r="AX426" s="186"/>
      <c r="AY426" s="186"/>
      <c r="AZ426" s="186"/>
      <c r="BA426" s="186"/>
      <c r="BB426" s="186"/>
      <c r="BC426" s="186"/>
      <c r="BD426" s="186"/>
      <c r="BE426" s="186"/>
      <c r="BF426" s="150"/>
      <c r="BG426" s="150"/>
    </row>
    <row r="427" spans="3:59" ht="14.6">
      <c r="C427" s="289"/>
      <c r="D427" s="150"/>
      <c r="E427" s="150"/>
      <c r="F427" s="150"/>
      <c r="G427" s="150"/>
      <c r="H427" s="150"/>
      <c r="I427" s="150"/>
      <c r="J427" s="150"/>
      <c r="K427" s="150"/>
      <c r="L427" s="150"/>
      <c r="M427" s="150"/>
      <c r="N427" s="150"/>
      <c r="O427" s="150"/>
      <c r="P427" s="150"/>
      <c r="Q427" s="150"/>
      <c r="R427" s="150"/>
      <c r="S427" s="150"/>
      <c r="T427" s="186"/>
      <c r="U427" s="186"/>
      <c r="V427" s="186"/>
      <c r="W427" s="186"/>
      <c r="X427" s="186"/>
      <c r="Y427" s="186"/>
      <c r="Z427" s="186"/>
      <c r="AA427" s="186"/>
      <c r="AB427" s="186"/>
      <c r="AC427" s="186"/>
      <c r="AD427" s="186"/>
      <c r="AF427" s="150"/>
      <c r="AG427" s="150"/>
      <c r="AH427" s="150"/>
      <c r="AI427" s="150"/>
      <c r="AJ427" s="150"/>
      <c r="AK427" s="150"/>
      <c r="AL427" s="150"/>
      <c r="AM427" s="150"/>
      <c r="AN427" s="150"/>
      <c r="AO427" s="150"/>
      <c r="AP427" s="150"/>
      <c r="AQ427" s="150"/>
      <c r="AT427" s="186"/>
      <c r="AU427" s="186"/>
      <c r="AV427" s="186"/>
      <c r="AW427" s="186"/>
      <c r="AX427" s="186"/>
      <c r="AY427" s="186"/>
      <c r="AZ427" s="186"/>
      <c r="BA427" s="186"/>
      <c r="BB427" s="186"/>
      <c r="BC427" s="186"/>
      <c r="BD427" s="186"/>
      <c r="BE427" s="186"/>
      <c r="BF427" s="150"/>
      <c r="BG427" s="150"/>
    </row>
    <row r="428" spans="3:59" ht="14.6">
      <c r="C428" s="289"/>
      <c r="D428" s="150"/>
      <c r="E428" s="150"/>
      <c r="F428" s="150"/>
      <c r="G428" s="150"/>
      <c r="H428" s="150"/>
      <c r="I428" s="150"/>
      <c r="J428" s="150"/>
      <c r="K428" s="150"/>
      <c r="L428" s="150"/>
      <c r="M428" s="150"/>
      <c r="N428" s="150"/>
      <c r="O428" s="150"/>
      <c r="P428" s="150"/>
      <c r="Q428" s="150"/>
      <c r="R428" s="150"/>
      <c r="S428" s="150"/>
      <c r="T428" s="186"/>
      <c r="U428" s="186"/>
      <c r="V428" s="186"/>
      <c r="W428" s="186"/>
      <c r="X428" s="186"/>
      <c r="Y428" s="186"/>
      <c r="Z428" s="186"/>
      <c r="AA428" s="186"/>
      <c r="AB428" s="186"/>
      <c r="AC428" s="186"/>
      <c r="AD428" s="186"/>
      <c r="AF428" s="150"/>
      <c r="AG428" s="150"/>
      <c r="AH428" s="150"/>
      <c r="AI428" s="150"/>
      <c r="AJ428" s="150"/>
      <c r="AK428" s="150"/>
      <c r="AL428" s="150"/>
      <c r="AM428" s="150"/>
      <c r="AN428" s="150"/>
      <c r="AO428" s="150"/>
      <c r="AP428" s="150"/>
      <c r="AQ428" s="150"/>
      <c r="AT428" s="186"/>
      <c r="AU428" s="186"/>
      <c r="AV428" s="186"/>
      <c r="AW428" s="186"/>
      <c r="AX428" s="186"/>
      <c r="AY428" s="186"/>
      <c r="AZ428" s="186"/>
      <c r="BA428" s="186"/>
      <c r="BB428" s="186"/>
      <c r="BC428" s="186"/>
      <c r="BD428" s="186"/>
      <c r="BE428" s="186"/>
      <c r="BF428" s="150"/>
      <c r="BG428" s="150"/>
    </row>
    <row r="429" spans="3:59" ht="14.6">
      <c r="C429" s="289"/>
      <c r="D429" s="150"/>
      <c r="E429" s="150"/>
      <c r="F429" s="150"/>
      <c r="G429" s="150"/>
      <c r="H429" s="150"/>
      <c r="I429" s="150"/>
      <c r="J429" s="150"/>
      <c r="K429" s="150"/>
      <c r="L429" s="150"/>
      <c r="M429" s="150"/>
      <c r="N429" s="150"/>
      <c r="O429" s="150"/>
      <c r="P429" s="150"/>
      <c r="Q429" s="150"/>
      <c r="R429" s="150"/>
      <c r="S429" s="150"/>
      <c r="T429" s="186"/>
      <c r="U429" s="186"/>
      <c r="V429" s="186"/>
      <c r="W429" s="186"/>
      <c r="X429" s="186"/>
      <c r="Y429" s="186"/>
      <c r="Z429" s="186"/>
      <c r="AA429" s="186"/>
      <c r="AB429" s="186"/>
      <c r="AC429" s="186"/>
      <c r="AD429" s="186"/>
      <c r="AF429" s="150"/>
      <c r="AG429" s="150"/>
      <c r="AH429" s="150"/>
      <c r="AI429" s="150"/>
      <c r="AJ429" s="150"/>
      <c r="AK429" s="150"/>
      <c r="AL429" s="150"/>
      <c r="AM429" s="150"/>
      <c r="AN429" s="150"/>
      <c r="AO429" s="150"/>
      <c r="AP429" s="150"/>
      <c r="AQ429" s="150"/>
      <c r="AT429" s="186"/>
      <c r="AU429" s="186"/>
      <c r="AV429" s="186"/>
      <c r="AW429" s="186"/>
      <c r="AX429" s="186"/>
      <c r="AY429" s="186"/>
      <c r="AZ429" s="186"/>
      <c r="BA429" s="186"/>
      <c r="BB429" s="186"/>
      <c r="BC429" s="186"/>
      <c r="BD429" s="186"/>
      <c r="BE429" s="186"/>
      <c r="BF429" s="150"/>
      <c r="BG429" s="150"/>
    </row>
    <row r="430" spans="3:59" ht="14.6">
      <c r="C430" s="289"/>
      <c r="D430" s="150"/>
      <c r="E430" s="150"/>
      <c r="F430" s="150"/>
      <c r="G430" s="150"/>
      <c r="H430" s="150"/>
      <c r="I430" s="150"/>
      <c r="J430" s="150"/>
      <c r="K430" s="150"/>
      <c r="L430" s="150"/>
      <c r="M430" s="150"/>
      <c r="N430" s="150"/>
      <c r="O430" s="150"/>
      <c r="P430" s="150"/>
      <c r="Q430" s="150"/>
      <c r="R430" s="150"/>
      <c r="S430" s="150"/>
      <c r="T430" s="186"/>
      <c r="U430" s="186"/>
      <c r="V430" s="186"/>
      <c r="W430" s="186"/>
      <c r="X430" s="186"/>
      <c r="Y430" s="186"/>
      <c r="Z430" s="186"/>
      <c r="AA430" s="186"/>
      <c r="AB430" s="186"/>
      <c r="AC430" s="186"/>
      <c r="AD430" s="186"/>
      <c r="AF430" s="150"/>
      <c r="AG430" s="150"/>
      <c r="AH430" s="150"/>
      <c r="AI430" s="150"/>
      <c r="AJ430" s="150"/>
      <c r="AK430" s="150"/>
      <c r="AL430" s="150"/>
      <c r="AM430" s="150"/>
      <c r="AN430" s="150"/>
      <c r="AO430" s="150"/>
      <c r="AP430" s="150"/>
      <c r="AQ430" s="150"/>
      <c r="AT430" s="186"/>
      <c r="AU430" s="186"/>
      <c r="AV430" s="186"/>
      <c r="AW430" s="186"/>
      <c r="AX430" s="186"/>
      <c r="AY430" s="186"/>
      <c r="AZ430" s="186"/>
      <c r="BA430" s="186"/>
      <c r="BB430" s="186"/>
      <c r="BC430" s="186"/>
      <c r="BD430" s="186"/>
      <c r="BE430" s="186"/>
      <c r="BF430" s="150"/>
      <c r="BG430" s="150"/>
    </row>
    <row r="431" spans="3:59" ht="14.6">
      <c r="C431" s="289"/>
      <c r="D431" s="150"/>
      <c r="E431" s="150"/>
      <c r="F431" s="150"/>
      <c r="G431" s="150"/>
      <c r="H431" s="150"/>
      <c r="I431" s="150"/>
      <c r="J431" s="150"/>
      <c r="K431" s="150"/>
      <c r="L431" s="150"/>
      <c r="M431" s="150"/>
      <c r="N431" s="150"/>
      <c r="O431" s="150"/>
      <c r="P431" s="150"/>
      <c r="Q431" s="150"/>
      <c r="R431" s="150"/>
      <c r="S431" s="150"/>
      <c r="T431" s="186"/>
      <c r="U431" s="186"/>
      <c r="V431" s="186"/>
      <c r="W431" s="186"/>
      <c r="X431" s="186"/>
      <c r="Y431" s="186"/>
      <c r="Z431" s="186"/>
      <c r="AA431" s="186"/>
      <c r="AB431" s="186"/>
      <c r="AC431" s="186"/>
      <c r="AD431" s="186"/>
      <c r="AF431" s="150"/>
      <c r="AG431" s="150"/>
      <c r="AH431" s="150"/>
      <c r="AI431" s="150"/>
      <c r="AJ431" s="150"/>
      <c r="AK431" s="150"/>
      <c r="AL431" s="150"/>
      <c r="AM431" s="150"/>
      <c r="AN431" s="150"/>
      <c r="AO431" s="150"/>
      <c r="AP431" s="150"/>
      <c r="AQ431" s="150"/>
      <c r="AT431" s="186"/>
      <c r="AU431" s="186"/>
      <c r="AV431" s="186"/>
      <c r="AW431" s="186"/>
      <c r="AX431" s="186"/>
      <c r="AY431" s="186"/>
      <c r="AZ431" s="186"/>
      <c r="BA431" s="186"/>
      <c r="BB431" s="186"/>
      <c r="BC431" s="186"/>
      <c r="BD431" s="186"/>
      <c r="BE431" s="186"/>
      <c r="BF431" s="150"/>
      <c r="BG431" s="150"/>
    </row>
    <row r="432" spans="3:59" ht="14.6">
      <c r="C432" s="289"/>
      <c r="D432" s="150"/>
      <c r="E432" s="150"/>
      <c r="F432" s="150"/>
      <c r="G432" s="150"/>
      <c r="H432" s="150"/>
      <c r="I432" s="150"/>
      <c r="J432" s="150"/>
      <c r="K432" s="150"/>
      <c r="L432" s="150"/>
      <c r="M432" s="150"/>
      <c r="N432" s="150"/>
      <c r="O432" s="150"/>
      <c r="P432" s="150"/>
      <c r="Q432" s="150"/>
      <c r="R432" s="150"/>
      <c r="S432" s="150"/>
      <c r="T432" s="186"/>
      <c r="U432" s="186"/>
      <c r="V432" s="186"/>
      <c r="W432" s="186"/>
      <c r="X432" s="186"/>
      <c r="Y432" s="186"/>
      <c r="Z432" s="186"/>
      <c r="AA432" s="186"/>
      <c r="AB432" s="186"/>
      <c r="AC432" s="186"/>
      <c r="AD432" s="186"/>
      <c r="AF432" s="150"/>
      <c r="AG432" s="150"/>
      <c r="AH432" s="150"/>
      <c r="AI432" s="150"/>
      <c r="AJ432" s="150"/>
      <c r="AK432" s="150"/>
      <c r="AL432" s="150"/>
      <c r="AM432" s="150"/>
      <c r="AN432" s="150"/>
      <c r="AO432" s="150"/>
      <c r="AP432" s="150"/>
      <c r="AQ432" s="150"/>
      <c r="AT432" s="186"/>
      <c r="AU432" s="186"/>
      <c r="AV432" s="186"/>
      <c r="AW432" s="186"/>
      <c r="AX432" s="186"/>
      <c r="AY432" s="186"/>
      <c r="AZ432" s="186"/>
      <c r="BA432" s="186"/>
      <c r="BB432" s="186"/>
      <c r="BC432" s="186"/>
      <c r="BD432" s="186"/>
      <c r="BE432" s="186"/>
      <c r="BF432" s="150"/>
      <c r="BG432" s="150"/>
    </row>
    <row r="433" spans="3:59" ht="14.6">
      <c r="C433" s="289"/>
      <c r="D433" s="150"/>
      <c r="E433" s="150"/>
      <c r="F433" s="150"/>
      <c r="G433" s="150"/>
      <c r="H433" s="150"/>
      <c r="I433" s="150"/>
      <c r="J433" s="150"/>
      <c r="K433" s="150"/>
      <c r="L433" s="150"/>
      <c r="M433" s="150"/>
      <c r="N433" s="150"/>
      <c r="O433" s="150"/>
      <c r="P433" s="150"/>
      <c r="Q433" s="150"/>
      <c r="R433" s="150"/>
      <c r="S433" s="150"/>
      <c r="T433" s="186"/>
      <c r="U433" s="186"/>
      <c r="V433" s="186"/>
      <c r="W433" s="186"/>
      <c r="X433" s="186"/>
      <c r="Y433" s="186"/>
      <c r="Z433" s="186"/>
      <c r="AA433" s="186"/>
      <c r="AB433" s="186"/>
      <c r="AC433" s="186"/>
      <c r="AD433" s="186"/>
      <c r="AF433" s="150"/>
      <c r="AG433" s="150"/>
      <c r="AH433" s="150"/>
      <c r="AI433" s="150"/>
      <c r="AJ433" s="150"/>
      <c r="AK433" s="150"/>
      <c r="AL433" s="150"/>
      <c r="AM433" s="150"/>
      <c r="AN433" s="150"/>
      <c r="AO433" s="150"/>
      <c r="AP433" s="150"/>
      <c r="AQ433" s="150"/>
      <c r="AT433" s="186"/>
      <c r="AU433" s="186"/>
      <c r="AV433" s="186"/>
      <c r="AW433" s="186"/>
      <c r="AX433" s="186"/>
      <c r="AY433" s="186"/>
      <c r="AZ433" s="186"/>
      <c r="BA433" s="186"/>
      <c r="BB433" s="186"/>
      <c r="BC433" s="186"/>
      <c r="BD433" s="186"/>
      <c r="BE433" s="186"/>
      <c r="BF433" s="150"/>
      <c r="BG433" s="150"/>
    </row>
    <row r="434" spans="3:59" ht="14.6">
      <c r="C434" s="289"/>
      <c r="D434" s="150"/>
      <c r="E434" s="150"/>
      <c r="F434" s="150"/>
      <c r="G434" s="150"/>
      <c r="H434" s="150"/>
      <c r="I434" s="150"/>
      <c r="J434" s="150"/>
      <c r="K434" s="150"/>
      <c r="L434" s="150"/>
      <c r="M434" s="150"/>
      <c r="N434" s="150"/>
      <c r="O434" s="150"/>
      <c r="P434" s="150"/>
      <c r="Q434" s="150"/>
      <c r="R434" s="150"/>
      <c r="S434" s="150"/>
      <c r="T434" s="186"/>
      <c r="U434" s="186"/>
      <c r="V434" s="186"/>
      <c r="W434" s="186"/>
      <c r="X434" s="186"/>
      <c r="Y434" s="186"/>
      <c r="Z434" s="186"/>
      <c r="AA434" s="186"/>
      <c r="AB434" s="186"/>
      <c r="AC434" s="186"/>
      <c r="AD434" s="186"/>
      <c r="AF434" s="150"/>
      <c r="AG434" s="150"/>
      <c r="AH434" s="150"/>
      <c r="AI434" s="150"/>
      <c r="AJ434" s="150"/>
      <c r="AK434" s="150"/>
      <c r="AL434" s="150"/>
      <c r="AM434" s="150"/>
      <c r="AN434" s="150"/>
      <c r="AO434" s="150"/>
      <c r="AP434" s="150"/>
      <c r="AQ434" s="150"/>
      <c r="AT434" s="186"/>
      <c r="AU434" s="186"/>
      <c r="AV434" s="186"/>
      <c r="AW434" s="186"/>
      <c r="AX434" s="186"/>
      <c r="AY434" s="186"/>
      <c r="AZ434" s="186"/>
      <c r="BA434" s="186"/>
      <c r="BB434" s="186"/>
      <c r="BC434" s="186"/>
      <c r="BD434" s="186"/>
      <c r="BE434" s="186"/>
      <c r="BF434" s="150"/>
      <c r="BG434" s="150"/>
    </row>
    <row r="435" spans="3:59" ht="14.6">
      <c r="C435" s="289"/>
      <c r="D435" s="150"/>
      <c r="E435" s="150"/>
      <c r="F435" s="150"/>
      <c r="G435" s="150"/>
      <c r="H435" s="150"/>
      <c r="I435" s="150"/>
      <c r="J435" s="150"/>
      <c r="K435" s="150"/>
      <c r="L435" s="150"/>
      <c r="M435" s="150"/>
      <c r="N435" s="150"/>
      <c r="O435" s="150"/>
      <c r="P435" s="150"/>
      <c r="Q435" s="150"/>
      <c r="R435" s="150"/>
      <c r="S435" s="150"/>
      <c r="T435" s="186"/>
      <c r="U435" s="186"/>
      <c r="V435" s="186"/>
      <c r="W435" s="186"/>
      <c r="X435" s="186"/>
      <c r="Y435" s="186"/>
      <c r="Z435" s="186"/>
      <c r="AA435" s="186"/>
      <c r="AB435" s="186"/>
      <c r="AC435" s="186"/>
      <c r="AD435" s="186"/>
      <c r="AF435" s="150"/>
      <c r="AG435" s="150"/>
      <c r="AH435" s="150"/>
      <c r="AI435" s="150"/>
      <c r="AJ435" s="150"/>
      <c r="AK435" s="150"/>
      <c r="AL435" s="150"/>
      <c r="AM435" s="150"/>
      <c r="AN435" s="150"/>
      <c r="AO435" s="150"/>
      <c r="AP435" s="150"/>
      <c r="AQ435" s="150"/>
      <c r="AT435" s="186"/>
      <c r="AU435" s="186"/>
      <c r="AV435" s="186"/>
      <c r="AW435" s="186"/>
      <c r="AX435" s="186"/>
      <c r="AY435" s="186"/>
      <c r="AZ435" s="186"/>
      <c r="BA435" s="186"/>
      <c r="BB435" s="186"/>
      <c r="BC435" s="186"/>
      <c r="BD435" s="186"/>
      <c r="BE435" s="186"/>
      <c r="BF435" s="150"/>
      <c r="BG435" s="150"/>
    </row>
    <row r="436" spans="3:59" ht="14.6">
      <c r="C436" s="289"/>
      <c r="D436" s="150"/>
      <c r="E436" s="150"/>
      <c r="F436" s="150"/>
      <c r="G436" s="150"/>
      <c r="H436" s="150"/>
      <c r="I436" s="150"/>
      <c r="J436" s="150"/>
      <c r="K436" s="150"/>
      <c r="L436" s="150"/>
      <c r="M436" s="150"/>
      <c r="N436" s="150"/>
      <c r="O436" s="150"/>
      <c r="P436" s="150"/>
      <c r="Q436" s="150"/>
      <c r="R436" s="150"/>
      <c r="S436" s="150"/>
      <c r="T436" s="186"/>
      <c r="U436" s="186"/>
      <c r="V436" s="186"/>
      <c r="W436" s="186"/>
      <c r="X436" s="186"/>
      <c r="Y436" s="186"/>
      <c r="Z436" s="186"/>
      <c r="AA436" s="186"/>
      <c r="AB436" s="186"/>
      <c r="AC436" s="186"/>
      <c r="AD436" s="186"/>
      <c r="AF436" s="150"/>
      <c r="AG436" s="150"/>
      <c r="AH436" s="150"/>
      <c r="AI436" s="150"/>
      <c r="AJ436" s="150"/>
      <c r="AK436" s="150"/>
      <c r="AL436" s="150"/>
      <c r="AM436" s="150"/>
      <c r="AN436" s="150"/>
      <c r="AO436" s="150"/>
      <c r="AP436" s="150"/>
      <c r="AQ436" s="150"/>
      <c r="AT436" s="186"/>
      <c r="AU436" s="186"/>
      <c r="AV436" s="186"/>
      <c r="AW436" s="186"/>
      <c r="AX436" s="186"/>
      <c r="AY436" s="186"/>
      <c r="AZ436" s="186"/>
      <c r="BA436" s="186"/>
      <c r="BB436" s="186"/>
      <c r="BC436" s="186"/>
      <c r="BD436" s="186"/>
      <c r="BE436" s="186"/>
      <c r="BF436" s="150"/>
      <c r="BG436" s="150"/>
    </row>
    <row r="437" spans="3:59" ht="14.6">
      <c r="C437" s="289"/>
      <c r="D437" s="150"/>
      <c r="E437" s="150"/>
      <c r="F437" s="150"/>
      <c r="G437" s="150"/>
      <c r="H437" s="150"/>
      <c r="I437" s="150"/>
      <c r="J437" s="150"/>
      <c r="K437" s="150"/>
      <c r="L437" s="150"/>
      <c r="M437" s="150"/>
      <c r="N437" s="150"/>
      <c r="O437" s="150"/>
      <c r="P437" s="150"/>
      <c r="Q437" s="150"/>
      <c r="R437" s="150"/>
      <c r="S437" s="150"/>
      <c r="T437" s="186"/>
      <c r="U437" s="186"/>
      <c r="V437" s="186"/>
      <c r="W437" s="186"/>
      <c r="X437" s="186"/>
      <c r="Y437" s="186"/>
      <c r="Z437" s="186"/>
      <c r="AA437" s="186"/>
      <c r="AB437" s="186"/>
      <c r="AC437" s="186"/>
      <c r="AD437" s="186"/>
      <c r="AF437" s="150"/>
      <c r="AG437" s="150"/>
      <c r="AH437" s="150"/>
      <c r="AI437" s="150"/>
      <c r="AJ437" s="150"/>
      <c r="AK437" s="150"/>
      <c r="AL437" s="150"/>
      <c r="AM437" s="150"/>
      <c r="AN437" s="150"/>
      <c r="AO437" s="150"/>
      <c r="AP437" s="150"/>
      <c r="AQ437" s="150"/>
      <c r="AT437" s="186"/>
      <c r="AU437" s="186"/>
      <c r="AV437" s="186"/>
      <c r="AW437" s="186"/>
      <c r="AX437" s="186"/>
      <c r="AY437" s="186"/>
      <c r="AZ437" s="186"/>
      <c r="BA437" s="186"/>
      <c r="BB437" s="186"/>
      <c r="BC437" s="186"/>
      <c r="BD437" s="186"/>
      <c r="BE437" s="186"/>
      <c r="BF437" s="150"/>
      <c r="BG437" s="150"/>
    </row>
    <row r="438" spans="3:59" ht="14.6">
      <c r="C438" s="289"/>
      <c r="D438" s="150"/>
      <c r="E438" s="150"/>
      <c r="F438" s="150"/>
      <c r="G438" s="150"/>
      <c r="H438" s="150"/>
      <c r="I438" s="150"/>
      <c r="J438" s="150"/>
      <c r="K438" s="150"/>
      <c r="L438" s="150"/>
      <c r="M438" s="150"/>
      <c r="N438" s="150"/>
      <c r="O438" s="150"/>
      <c r="P438" s="150"/>
      <c r="Q438" s="150"/>
      <c r="R438" s="150"/>
      <c r="S438" s="150"/>
      <c r="T438" s="186"/>
      <c r="U438" s="186"/>
      <c r="V438" s="186"/>
      <c r="W438" s="186"/>
      <c r="X438" s="186"/>
      <c r="Y438" s="186"/>
      <c r="Z438" s="186"/>
      <c r="AA438" s="186"/>
      <c r="AB438" s="186"/>
      <c r="AC438" s="186"/>
      <c r="AD438" s="186"/>
      <c r="AF438" s="150"/>
      <c r="AG438" s="150"/>
      <c r="AH438" s="150"/>
      <c r="AI438" s="150"/>
      <c r="AJ438" s="150"/>
      <c r="AK438" s="150"/>
      <c r="AL438" s="150"/>
      <c r="AM438" s="150"/>
      <c r="AN438" s="150"/>
      <c r="AO438" s="150"/>
      <c r="AP438" s="150"/>
      <c r="AQ438" s="150"/>
      <c r="AT438" s="186"/>
      <c r="AU438" s="186"/>
      <c r="AV438" s="186"/>
      <c r="AW438" s="186"/>
      <c r="AX438" s="186"/>
      <c r="AY438" s="186"/>
      <c r="AZ438" s="186"/>
      <c r="BA438" s="186"/>
      <c r="BB438" s="186"/>
      <c r="BC438" s="186"/>
      <c r="BD438" s="186"/>
      <c r="BE438" s="186"/>
      <c r="BF438" s="150"/>
      <c r="BG438" s="150"/>
    </row>
    <row r="439" spans="3:59" ht="14.6">
      <c r="C439" s="289"/>
      <c r="D439" s="150"/>
      <c r="E439" s="150"/>
      <c r="F439" s="150"/>
      <c r="G439" s="150"/>
      <c r="H439" s="150"/>
      <c r="I439" s="150"/>
      <c r="J439" s="150"/>
      <c r="K439" s="150"/>
      <c r="L439" s="150"/>
      <c r="M439" s="150"/>
      <c r="N439" s="150"/>
      <c r="O439" s="150"/>
      <c r="P439" s="150"/>
      <c r="Q439" s="150"/>
      <c r="R439" s="150"/>
      <c r="S439" s="150"/>
      <c r="T439" s="186"/>
      <c r="U439" s="186"/>
      <c r="V439" s="186"/>
      <c r="W439" s="186"/>
      <c r="X439" s="186"/>
      <c r="Y439" s="186"/>
      <c r="Z439" s="186"/>
      <c r="AA439" s="186"/>
      <c r="AB439" s="186"/>
      <c r="AC439" s="186"/>
      <c r="AD439" s="186"/>
      <c r="AF439" s="150"/>
      <c r="AG439" s="150"/>
      <c r="AH439" s="150"/>
      <c r="AI439" s="150"/>
      <c r="AJ439" s="150"/>
      <c r="AK439" s="150"/>
      <c r="AL439" s="150"/>
      <c r="AM439" s="150"/>
      <c r="AN439" s="150"/>
      <c r="AO439" s="150"/>
      <c r="AP439" s="150"/>
      <c r="AQ439" s="150"/>
      <c r="AT439" s="186"/>
      <c r="AU439" s="186"/>
      <c r="AV439" s="186"/>
      <c r="AW439" s="186"/>
      <c r="AX439" s="186"/>
      <c r="AY439" s="186"/>
      <c r="AZ439" s="186"/>
      <c r="BA439" s="186"/>
      <c r="BB439" s="186"/>
      <c r="BC439" s="186"/>
      <c r="BD439" s="186"/>
      <c r="BE439" s="186"/>
      <c r="BF439" s="150"/>
      <c r="BG439" s="150"/>
    </row>
    <row r="440" spans="3:59" ht="14.6">
      <c r="C440" s="289"/>
      <c r="D440" s="150"/>
      <c r="E440" s="150"/>
      <c r="F440" s="150"/>
      <c r="G440" s="150"/>
      <c r="H440" s="150"/>
      <c r="I440" s="150"/>
      <c r="J440" s="150"/>
      <c r="K440" s="150"/>
      <c r="L440" s="150"/>
      <c r="M440" s="150"/>
      <c r="N440" s="150"/>
      <c r="O440" s="150"/>
      <c r="P440" s="150"/>
      <c r="Q440" s="150"/>
      <c r="R440" s="150"/>
      <c r="S440" s="150"/>
      <c r="T440" s="186"/>
      <c r="U440" s="186"/>
      <c r="V440" s="186"/>
      <c r="W440" s="186"/>
      <c r="X440" s="186"/>
      <c r="Y440" s="186"/>
      <c r="Z440" s="186"/>
      <c r="AA440" s="186"/>
      <c r="AB440" s="186"/>
      <c r="AC440" s="186"/>
      <c r="AD440" s="186"/>
      <c r="AF440" s="150"/>
      <c r="AG440" s="150"/>
      <c r="AH440" s="150"/>
      <c r="AI440" s="150"/>
      <c r="AJ440" s="150"/>
      <c r="AK440" s="150"/>
      <c r="AL440" s="150"/>
      <c r="AM440" s="150"/>
      <c r="AN440" s="150"/>
      <c r="AO440" s="150"/>
      <c r="AP440" s="150"/>
      <c r="AQ440" s="150"/>
      <c r="AT440" s="186"/>
      <c r="AU440" s="186"/>
      <c r="AV440" s="186"/>
      <c r="AW440" s="186"/>
      <c r="AX440" s="186"/>
      <c r="AY440" s="186"/>
      <c r="AZ440" s="186"/>
      <c r="BA440" s="186"/>
      <c r="BB440" s="186"/>
      <c r="BC440" s="186"/>
      <c r="BD440" s="186"/>
      <c r="BE440" s="186"/>
      <c r="BF440" s="150"/>
      <c r="BG440" s="150"/>
    </row>
    <row r="441" spans="3:59" ht="14.6">
      <c r="C441" s="289"/>
      <c r="D441" s="150"/>
      <c r="E441" s="150"/>
      <c r="F441" s="150"/>
      <c r="G441" s="150"/>
      <c r="H441" s="150"/>
      <c r="I441" s="150"/>
      <c r="J441" s="150"/>
      <c r="K441" s="150"/>
      <c r="L441" s="150"/>
      <c r="M441" s="150"/>
      <c r="N441" s="150"/>
      <c r="O441" s="150"/>
      <c r="P441" s="150"/>
      <c r="Q441" s="150"/>
      <c r="R441" s="150"/>
      <c r="S441" s="150"/>
      <c r="T441" s="186"/>
      <c r="U441" s="186"/>
      <c r="V441" s="186"/>
      <c r="W441" s="186"/>
      <c r="X441" s="186"/>
      <c r="Y441" s="186"/>
      <c r="Z441" s="186"/>
      <c r="AA441" s="186"/>
      <c r="AB441" s="186"/>
      <c r="AC441" s="186"/>
      <c r="AD441" s="186"/>
      <c r="AF441" s="150"/>
      <c r="AG441" s="150"/>
      <c r="AH441" s="150"/>
      <c r="AI441" s="150"/>
      <c r="AJ441" s="150"/>
      <c r="AK441" s="150"/>
      <c r="AL441" s="150"/>
      <c r="AM441" s="150"/>
      <c r="AN441" s="150"/>
      <c r="AO441" s="150"/>
      <c r="AP441" s="150"/>
      <c r="AQ441" s="150"/>
      <c r="AT441" s="186"/>
      <c r="AU441" s="186"/>
      <c r="AV441" s="186"/>
      <c r="AW441" s="186"/>
      <c r="AX441" s="186"/>
      <c r="AY441" s="186"/>
      <c r="AZ441" s="186"/>
      <c r="BA441" s="186"/>
      <c r="BB441" s="186"/>
      <c r="BC441" s="186"/>
      <c r="BD441" s="186"/>
      <c r="BE441" s="186"/>
      <c r="BF441" s="150"/>
      <c r="BG441" s="150"/>
    </row>
    <row r="442" spans="3:59" ht="14.6">
      <c r="C442" s="289"/>
      <c r="D442" s="150"/>
      <c r="E442" s="150"/>
      <c r="F442" s="150"/>
      <c r="G442" s="150"/>
      <c r="H442" s="150"/>
      <c r="I442" s="150"/>
      <c r="J442" s="150"/>
      <c r="K442" s="150"/>
      <c r="L442" s="150"/>
      <c r="M442" s="150"/>
      <c r="N442" s="150"/>
      <c r="O442" s="150"/>
      <c r="P442" s="150"/>
      <c r="Q442" s="150"/>
      <c r="R442" s="150"/>
      <c r="S442" s="150"/>
      <c r="T442" s="186"/>
      <c r="U442" s="186"/>
      <c r="V442" s="186"/>
      <c r="W442" s="186"/>
      <c r="X442" s="186"/>
      <c r="Y442" s="186"/>
      <c r="Z442" s="186"/>
      <c r="AA442" s="186"/>
      <c r="AB442" s="186"/>
      <c r="AC442" s="186"/>
      <c r="AD442" s="186"/>
      <c r="AF442" s="150"/>
      <c r="AG442" s="150"/>
      <c r="AH442" s="150"/>
      <c r="AI442" s="150"/>
      <c r="AJ442" s="150"/>
      <c r="AK442" s="150"/>
      <c r="AL442" s="150"/>
      <c r="AM442" s="150"/>
      <c r="AN442" s="150"/>
      <c r="AO442" s="150"/>
      <c r="AP442" s="150"/>
      <c r="AQ442" s="150"/>
      <c r="AT442" s="186"/>
      <c r="AU442" s="186"/>
      <c r="AV442" s="186"/>
      <c r="AW442" s="186"/>
      <c r="AX442" s="186"/>
      <c r="AY442" s="186"/>
      <c r="AZ442" s="186"/>
      <c r="BA442" s="186"/>
      <c r="BB442" s="186"/>
      <c r="BC442" s="186"/>
      <c r="BD442" s="186"/>
      <c r="BE442" s="186"/>
      <c r="BF442" s="150"/>
      <c r="BG442" s="150"/>
    </row>
    <row r="443" spans="3:59" ht="14.6">
      <c r="C443" s="289"/>
      <c r="D443" s="150"/>
      <c r="E443" s="150"/>
      <c r="F443" s="150"/>
      <c r="G443" s="150"/>
      <c r="H443" s="150"/>
      <c r="I443" s="150"/>
      <c r="J443" s="150"/>
      <c r="K443" s="150"/>
      <c r="L443" s="150"/>
      <c r="M443" s="150"/>
      <c r="N443" s="150"/>
      <c r="O443" s="150"/>
      <c r="P443" s="150"/>
      <c r="Q443" s="150"/>
      <c r="R443" s="150"/>
      <c r="S443" s="150"/>
      <c r="T443" s="186"/>
      <c r="U443" s="186"/>
      <c r="V443" s="186"/>
      <c r="W443" s="186"/>
      <c r="X443" s="186"/>
      <c r="Y443" s="186"/>
      <c r="Z443" s="186"/>
      <c r="AA443" s="186"/>
      <c r="AB443" s="186"/>
      <c r="AC443" s="186"/>
      <c r="AD443" s="186"/>
      <c r="AF443" s="150"/>
      <c r="AG443" s="150"/>
      <c r="AH443" s="150"/>
      <c r="AI443" s="150"/>
      <c r="AJ443" s="150"/>
      <c r="AK443" s="150"/>
      <c r="AL443" s="150"/>
      <c r="AM443" s="150"/>
      <c r="AN443" s="150"/>
      <c r="AO443" s="150"/>
      <c r="AP443" s="150"/>
      <c r="AQ443" s="150"/>
      <c r="AT443" s="186"/>
      <c r="AU443" s="186"/>
      <c r="AV443" s="186"/>
      <c r="AW443" s="186"/>
      <c r="AX443" s="186"/>
      <c r="AY443" s="186"/>
      <c r="AZ443" s="186"/>
      <c r="BA443" s="186"/>
      <c r="BB443" s="186"/>
      <c r="BC443" s="186"/>
      <c r="BD443" s="186"/>
      <c r="BE443" s="186"/>
      <c r="BF443" s="150"/>
      <c r="BG443" s="150"/>
    </row>
    <row r="444" spans="3:59" ht="14.6">
      <c r="C444" s="289"/>
      <c r="D444" s="150"/>
      <c r="E444" s="150"/>
      <c r="F444" s="150"/>
      <c r="G444" s="150"/>
      <c r="H444" s="150"/>
      <c r="I444" s="150"/>
      <c r="J444" s="150"/>
      <c r="K444" s="150"/>
      <c r="L444" s="150"/>
      <c r="M444" s="150"/>
      <c r="N444" s="150"/>
      <c r="O444" s="150"/>
      <c r="P444" s="150"/>
      <c r="Q444" s="150"/>
      <c r="R444" s="150"/>
      <c r="S444" s="150"/>
      <c r="T444" s="186"/>
      <c r="U444" s="186"/>
      <c r="V444" s="186"/>
      <c r="W444" s="186"/>
      <c r="X444" s="186"/>
      <c r="Y444" s="186"/>
      <c r="Z444" s="186"/>
      <c r="AA444" s="186"/>
      <c r="AB444" s="186"/>
      <c r="AC444" s="186"/>
      <c r="AD444" s="186"/>
      <c r="AF444" s="150"/>
      <c r="AG444" s="150"/>
      <c r="AH444" s="150"/>
      <c r="AI444" s="150"/>
      <c r="AJ444" s="150"/>
      <c r="AK444" s="150"/>
      <c r="AL444" s="150"/>
      <c r="AM444" s="150"/>
      <c r="AN444" s="150"/>
      <c r="AO444" s="150"/>
      <c r="AP444" s="150"/>
      <c r="AQ444" s="150"/>
      <c r="AT444" s="186"/>
      <c r="AU444" s="186"/>
      <c r="AV444" s="186"/>
      <c r="AW444" s="186"/>
      <c r="AX444" s="186"/>
      <c r="AY444" s="186"/>
      <c r="AZ444" s="186"/>
      <c r="BA444" s="186"/>
      <c r="BB444" s="186"/>
      <c r="BC444" s="186"/>
      <c r="BD444" s="186"/>
      <c r="BE444" s="186"/>
      <c r="BF444" s="150"/>
      <c r="BG444" s="150"/>
    </row>
    <row r="445" spans="3:59" ht="14.6">
      <c r="C445" s="289"/>
      <c r="D445" s="150"/>
      <c r="E445" s="150"/>
      <c r="F445" s="150"/>
      <c r="G445" s="150"/>
      <c r="H445" s="150"/>
      <c r="I445" s="150"/>
      <c r="J445" s="150"/>
      <c r="K445" s="150"/>
      <c r="L445" s="150"/>
      <c r="M445" s="150"/>
      <c r="N445" s="150"/>
      <c r="O445" s="150"/>
      <c r="P445" s="150"/>
      <c r="Q445" s="150"/>
      <c r="R445" s="150"/>
      <c r="S445" s="150"/>
      <c r="T445" s="186"/>
      <c r="U445" s="186"/>
      <c r="V445" s="186"/>
      <c r="W445" s="186"/>
      <c r="X445" s="186"/>
      <c r="Y445" s="186"/>
      <c r="Z445" s="186"/>
      <c r="AA445" s="186"/>
      <c r="AB445" s="186"/>
      <c r="AC445" s="186"/>
      <c r="AD445" s="186"/>
      <c r="AF445" s="150"/>
      <c r="AG445" s="150"/>
      <c r="AH445" s="150"/>
      <c r="AI445" s="150"/>
      <c r="AJ445" s="150"/>
      <c r="AK445" s="150"/>
      <c r="AL445" s="150"/>
      <c r="AM445" s="150"/>
      <c r="AN445" s="150"/>
      <c r="AO445" s="150"/>
      <c r="AP445" s="150"/>
      <c r="AQ445" s="150"/>
      <c r="AT445" s="186"/>
      <c r="AU445" s="186"/>
      <c r="AV445" s="186"/>
      <c r="AW445" s="186"/>
      <c r="AX445" s="186"/>
      <c r="AY445" s="186"/>
      <c r="AZ445" s="186"/>
      <c r="BA445" s="186"/>
      <c r="BB445" s="186"/>
      <c r="BC445" s="186"/>
      <c r="BD445" s="186"/>
      <c r="BE445" s="186"/>
      <c r="BF445" s="150"/>
      <c r="BG445" s="150"/>
    </row>
    <row r="446" spans="3:59" ht="14.6">
      <c r="C446" s="289"/>
      <c r="D446" s="150"/>
      <c r="E446" s="150"/>
      <c r="F446" s="150"/>
      <c r="G446" s="150"/>
      <c r="H446" s="150"/>
      <c r="I446" s="150"/>
      <c r="J446" s="150"/>
      <c r="K446" s="150"/>
      <c r="L446" s="150"/>
      <c r="M446" s="150"/>
      <c r="N446" s="150"/>
      <c r="O446" s="150"/>
      <c r="P446" s="150"/>
      <c r="Q446" s="150"/>
      <c r="R446" s="150"/>
      <c r="S446" s="150"/>
      <c r="T446" s="186"/>
      <c r="U446" s="186"/>
      <c r="V446" s="186"/>
      <c r="W446" s="186"/>
      <c r="X446" s="186"/>
      <c r="Y446" s="186"/>
      <c r="Z446" s="186"/>
      <c r="AA446" s="186"/>
      <c r="AB446" s="186"/>
      <c r="AC446" s="186"/>
      <c r="AD446" s="186"/>
      <c r="AF446" s="150"/>
      <c r="AG446" s="150"/>
      <c r="AH446" s="150"/>
      <c r="AI446" s="150"/>
      <c r="AJ446" s="150"/>
      <c r="AK446" s="150"/>
      <c r="AL446" s="150"/>
      <c r="AM446" s="150"/>
      <c r="AN446" s="150"/>
      <c r="AO446" s="150"/>
      <c r="AP446" s="150"/>
      <c r="AQ446" s="150"/>
      <c r="AT446" s="186"/>
      <c r="AU446" s="186"/>
      <c r="AV446" s="186"/>
      <c r="AW446" s="186"/>
      <c r="AX446" s="186"/>
      <c r="AY446" s="186"/>
      <c r="AZ446" s="186"/>
      <c r="BA446" s="186"/>
      <c r="BB446" s="186"/>
      <c r="BC446" s="186"/>
      <c r="BD446" s="186"/>
      <c r="BE446" s="186"/>
      <c r="BF446" s="150"/>
      <c r="BG446" s="150"/>
    </row>
    <row r="447" spans="3:59" ht="14.6">
      <c r="C447" s="289"/>
      <c r="D447" s="150"/>
      <c r="E447" s="150"/>
      <c r="F447" s="150"/>
      <c r="G447" s="150"/>
      <c r="H447" s="150"/>
      <c r="I447" s="150"/>
      <c r="J447" s="150"/>
      <c r="K447" s="150"/>
      <c r="L447" s="150"/>
      <c r="M447" s="150"/>
      <c r="N447" s="150"/>
      <c r="O447" s="150"/>
      <c r="P447" s="150"/>
      <c r="Q447" s="150"/>
      <c r="R447" s="150"/>
      <c r="S447" s="150"/>
      <c r="T447" s="186"/>
      <c r="U447" s="186"/>
      <c r="V447" s="186"/>
      <c r="W447" s="186"/>
      <c r="X447" s="186"/>
      <c r="Y447" s="186"/>
      <c r="Z447" s="186"/>
      <c r="AA447" s="186"/>
      <c r="AB447" s="186"/>
      <c r="AC447" s="186"/>
      <c r="AD447" s="186"/>
      <c r="AF447" s="150"/>
      <c r="AG447" s="150"/>
      <c r="AH447" s="150"/>
      <c r="AI447" s="150"/>
      <c r="AJ447" s="150"/>
      <c r="AK447" s="150"/>
      <c r="AL447" s="150"/>
      <c r="AM447" s="150"/>
      <c r="AN447" s="150"/>
      <c r="AO447" s="150"/>
      <c r="AP447" s="150"/>
      <c r="AQ447" s="150"/>
      <c r="AT447" s="186"/>
      <c r="AU447" s="186"/>
      <c r="AV447" s="186"/>
      <c r="AW447" s="186"/>
      <c r="AX447" s="186"/>
      <c r="AY447" s="186"/>
      <c r="AZ447" s="186"/>
      <c r="BA447" s="186"/>
      <c r="BB447" s="186"/>
      <c r="BC447" s="186"/>
      <c r="BD447" s="186"/>
      <c r="BE447" s="186"/>
      <c r="BF447" s="150"/>
      <c r="BG447" s="150"/>
    </row>
    <row r="448" spans="3:59" ht="14.6">
      <c r="C448" s="289"/>
      <c r="D448" s="150"/>
      <c r="E448" s="150"/>
      <c r="F448" s="150"/>
      <c r="G448" s="150"/>
      <c r="H448" s="150"/>
      <c r="I448" s="150"/>
      <c r="J448" s="150"/>
      <c r="K448" s="150"/>
      <c r="L448" s="150"/>
      <c r="M448" s="150"/>
      <c r="N448" s="150"/>
      <c r="O448" s="150"/>
      <c r="P448" s="150"/>
      <c r="Q448" s="150"/>
      <c r="R448" s="150"/>
      <c r="S448" s="150"/>
      <c r="T448" s="186"/>
      <c r="U448" s="186"/>
      <c r="V448" s="186"/>
      <c r="W448" s="186"/>
      <c r="X448" s="186"/>
      <c r="Y448" s="186"/>
      <c r="Z448" s="186"/>
      <c r="AA448" s="186"/>
      <c r="AB448" s="186"/>
      <c r="AC448" s="186"/>
      <c r="AD448" s="186"/>
      <c r="AF448" s="150"/>
      <c r="AG448" s="150"/>
      <c r="AH448" s="150"/>
      <c r="AI448" s="150"/>
      <c r="AJ448" s="150"/>
      <c r="AK448" s="150"/>
      <c r="AL448" s="150"/>
      <c r="AM448" s="150"/>
      <c r="AN448" s="150"/>
      <c r="AO448" s="150"/>
      <c r="AP448" s="150"/>
      <c r="AQ448" s="150"/>
      <c r="AT448" s="186"/>
      <c r="AU448" s="186"/>
      <c r="AV448" s="186"/>
      <c r="AW448" s="186"/>
      <c r="AX448" s="186"/>
      <c r="AY448" s="186"/>
      <c r="AZ448" s="186"/>
      <c r="BA448" s="186"/>
      <c r="BB448" s="186"/>
      <c r="BC448" s="186"/>
      <c r="BD448" s="186"/>
      <c r="BE448" s="186"/>
      <c r="BF448" s="150"/>
      <c r="BG448" s="150"/>
    </row>
    <row r="449" spans="3:59" ht="14.6">
      <c r="C449" s="289"/>
      <c r="D449" s="150"/>
      <c r="E449" s="150"/>
      <c r="F449" s="150"/>
      <c r="G449" s="150"/>
      <c r="H449" s="150"/>
      <c r="I449" s="150"/>
      <c r="J449" s="150"/>
      <c r="K449" s="150"/>
      <c r="L449" s="150"/>
      <c r="M449" s="150"/>
      <c r="N449" s="150"/>
      <c r="O449" s="150"/>
      <c r="P449" s="150"/>
      <c r="Q449" s="150"/>
      <c r="R449" s="150"/>
      <c r="S449" s="150"/>
      <c r="T449" s="186"/>
      <c r="U449" s="186"/>
      <c r="V449" s="186"/>
      <c r="W449" s="186"/>
      <c r="X449" s="186"/>
      <c r="Y449" s="186"/>
      <c r="Z449" s="186"/>
      <c r="AA449" s="186"/>
      <c r="AB449" s="186"/>
      <c r="AC449" s="186"/>
      <c r="AD449" s="186"/>
      <c r="AF449" s="150"/>
      <c r="AG449" s="150"/>
      <c r="AH449" s="150"/>
      <c r="AI449" s="150"/>
      <c r="AJ449" s="150"/>
      <c r="AK449" s="150"/>
      <c r="AL449" s="150"/>
      <c r="AM449" s="150"/>
      <c r="AN449" s="150"/>
      <c r="AO449" s="150"/>
      <c r="AP449" s="150"/>
      <c r="AQ449" s="150"/>
      <c r="AT449" s="186"/>
      <c r="AU449" s="186"/>
      <c r="AV449" s="186"/>
      <c r="AW449" s="186"/>
      <c r="AX449" s="186"/>
      <c r="AY449" s="186"/>
      <c r="AZ449" s="186"/>
      <c r="BA449" s="186"/>
      <c r="BB449" s="186"/>
      <c r="BC449" s="186"/>
      <c r="BD449" s="186"/>
      <c r="BE449" s="186"/>
      <c r="BF449" s="150"/>
      <c r="BG449" s="150"/>
    </row>
    <row r="450" spans="3:59" ht="14.6">
      <c r="C450" s="289"/>
      <c r="D450" s="150"/>
      <c r="E450" s="150"/>
      <c r="F450" s="150"/>
      <c r="G450" s="150"/>
      <c r="H450" s="150"/>
      <c r="I450" s="150"/>
      <c r="J450" s="150"/>
      <c r="K450" s="150"/>
      <c r="L450" s="150"/>
      <c r="M450" s="150"/>
      <c r="N450" s="150"/>
      <c r="O450" s="150"/>
      <c r="P450" s="150"/>
      <c r="Q450" s="150"/>
      <c r="R450" s="150"/>
      <c r="S450" s="150"/>
      <c r="T450" s="186"/>
      <c r="U450" s="186"/>
      <c r="V450" s="186"/>
      <c r="W450" s="186"/>
      <c r="X450" s="186"/>
      <c r="Y450" s="186"/>
      <c r="Z450" s="186"/>
      <c r="AA450" s="186"/>
      <c r="AB450" s="186"/>
      <c r="AC450" s="186"/>
      <c r="AD450" s="186"/>
      <c r="AF450" s="150"/>
      <c r="AG450" s="150"/>
      <c r="AH450" s="150"/>
      <c r="AI450" s="150"/>
      <c r="AJ450" s="150"/>
      <c r="AK450" s="150"/>
      <c r="AL450" s="150"/>
      <c r="AM450" s="150"/>
      <c r="AN450" s="150"/>
      <c r="AO450" s="150"/>
      <c r="AP450" s="150"/>
      <c r="AQ450" s="150"/>
      <c r="AT450" s="186"/>
      <c r="AU450" s="186"/>
      <c r="AV450" s="186"/>
      <c r="AW450" s="186"/>
      <c r="AX450" s="186"/>
      <c r="AY450" s="186"/>
      <c r="AZ450" s="186"/>
      <c r="BA450" s="186"/>
      <c r="BB450" s="186"/>
      <c r="BC450" s="186"/>
      <c r="BD450" s="186"/>
      <c r="BE450" s="186"/>
      <c r="BF450" s="150"/>
      <c r="BG450" s="150"/>
    </row>
    <row r="451" spans="3:59" ht="14.6">
      <c r="C451" s="289"/>
      <c r="D451" s="150"/>
      <c r="E451" s="150"/>
      <c r="F451" s="150"/>
      <c r="G451" s="150"/>
      <c r="H451" s="150"/>
      <c r="I451" s="150"/>
      <c r="J451" s="150"/>
      <c r="K451" s="150"/>
      <c r="L451" s="150"/>
      <c r="M451" s="150"/>
      <c r="N451" s="150"/>
      <c r="O451" s="150"/>
      <c r="P451" s="150"/>
      <c r="Q451" s="150"/>
      <c r="R451" s="150"/>
      <c r="S451" s="150"/>
      <c r="T451" s="186"/>
      <c r="U451" s="186"/>
      <c r="V451" s="186"/>
      <c r="W451" s="186"/>
      <c r="X451" s="186"/>
      <c r="Y451" s="186"/>
      <c r="Z451" s="186"/>
      <c r="AA451" s="186"/>
      <c r="AB451" s="186"/>
      <c r="AC451" s="186"/>
      <c r="AD451" s="186"/>
      <c r="AF451" s="150"/>
      <c r="AG451" s="150"/>
      <c r="AH451" s="150"/>
      <c r="AI451" s="150"/>
      <c r="AJ451" s="150"/>
      <c r="AK451" s="150"/>
      <c r="AL451" s="150"/>
      <c r="AM451" s="150"/>
      <c r="AN451" s="150"/>
      <c r="AO451" s="150"/>
      <c r="AP451" s="150"/>
      <c r="AQ451" s="150"/>
      <c r="AT451" s="186"/>
      <c r="AU451" s="186"/>
      <c r="AV451" s="186"/>
      <c r="AW451" s="186"/>
      <c r="AX451" s="186"/>
      <c r="AY451" s="186"/>
      <c r="AZ451" s="186"/>
      <c r="BA451" s="186"/>
      <c r="BB451" s="186"/>
      <c r="BC451" s="186"/>
      <c r="BD451" s="186"/>
      <c r="BE451" s="186"/>
      <c r="BF451" s="150"/>
      <c r="BG451" s="150"/>
    </row>
    <row r="452" spans="3:59" ht="14.6">
      <c r="C452" s="289"/>
      <c r="D452" s="150"/>
      <c r="E452" s="150"/>
      <c r="F452" s="150"/>
      <c r="G452" s="150"/>
      <c r="H452" s="150"/>
      <c r="I452" s="150"/>
      <c r="J452" s="150"/>
      <c r="K452" s="150"/>
      <c r="L452" s="150"/>
      <c r="M452" s="150"/>
      <c r="N452" s="150"/>
      <c r="O452" s="150"/>
      <c r="P452" s="150"/>
      <c r="Q452" s="150"/>
      <c r="R452" s="150"/>
      <c r="S452" s="150"/>
      <c r="T452" s="186"/>
      <c r="U452" s="186"/>
      <c r="V452" s="186"/>
      <c r="W452" s="186"/>
      <c r="X452" s="186"/>
      <c r="Y452" s="186"/>
      <c r="Z452" s="186"/>
      <c r="AA452" s="186"/>
      <c r="AB452" s="186"/>
      <c r="AC452" s="186"/>
      <c r="AD452" s="186"/>
      <c r="AF452" s="150"/>
      <c r="AG452" s="150"/>
      <c r="AH452" s="150"/>
      <c r="AI452" s="150"/>
      <c r="AJ452" s="150"/>
      <c r="AK452" s="150"/>
      <c r="AL452" s="150"/>
      <c r="AM452" s="150"/>
      <c r="AN452" s="150"/>
      <c r="AO452" s="150"/>
      <c r="AP452" s="150"/>
      <c r="AQ452" s="150"/>
      <c r="AT452" s="186"/>
      <c r="AU452" s="186"/>
      <c r="AV452" s="186"/>
      <c r="AW452" s="186"/>
      <c r="AX452" s="186"/>
      <c r="AY452" s="186"/>
      <c r="AZ452" s="186"/>
      <c r="BA452" s="186"/>
      <c r="BB452" s="186"/>
      <c r="BC452" s="186"/>
      <c r="BD452" s="186"/>
      <c r="BE452" s="186"/>
      <c r="BF452" s="150"/>
      <c r="BG452" s="150"/>
    </row>
    <row r="453" spans="3:59" ht="14.6">
      <c r="C453" s="289"/>
      <c r="D453" s="150"/>
      <c r="E453" s="150"/>
      <c r="F453" s="150"/>
      <c r="G453" s="150"/>
      <c r="H453" s="150"/>
      <c r="I453" s="150"/>
      <c r="J453" s="150"/>
      <c r="K453" s="150"/>
      <c r="L453" s="150"/>
      <c r="M453" s="150"/>
      <c r="N453" s="150"/>
      <c r="O453" s="150"/>
      <c r="P453" s="150"/>
      <c r="Q453" s="150"/>
      <c r="R453" s="150"/>
      <c r="S453" s="150"/>
      <c r="T453" s="186"/>
      <c r="U453" s="186"/>
      <c r="V453" s="186"/>
      <c r="W453" s="186"/>
      <c r="X453" s="186"/>
      <c r="Y453" s="186"/>
      <c r="Z453" s="186"/>
      <c r="AA453" s="186"/>
      <c r="AB453" s="186"/>
      <c r="AC453" s="186"/>
      <c r="AD453" s="186"/>
      <c r="AF453" s="150"/>
      <c r="AG453" s="150"/>
      <c r="AH453" s="150"/>
      <c r="AI453" s="150"/>
      <c r="AJ453" s="150"/>
      <c r="AK453" s="150"/>
      <c r="AL453" s="150"/>
      <c r="AM453" s="150"/>
      <c r="AN453" s="150"/>
      <c r="AO453" s="150"/>
      <c r="AP453" s="150"/>
      <c r="AQ453" s="150"/>
      <c r="AT453" s="186"/>
      <c r="AU453" s="186"/>
      <c r="AV453" s="186"/>
      <c r="AW453" s="186"/>
      <c r="AX453" s="186"/>
      <c r="AY453" s="186"/>
      <c r="AZ453" s="186"/>
      <c r="BA453" s="186"/>
      <c r="BB453" s="186"/>
      <c r="BC453" s="186"/>
      <c r="BD453" s="186"/>
      <c r="BE453" s="186"/>
      <c r="BF453" s="150"/>
      <c r="BG453" s="150"/>
    </row>
    <row r="454" spans="3:59" ht="14.6">
      <c r="C454" s="289"/>
      <c r="D454" s="150"/>
      <c r="E454" s="150"/>
      <c r="F454" s="150"/>
      <c r="G454" s="150"/>
      <c r="H454" s="150"/>
      <c r="I454" s="150"/>
      <c r="J454" s="150"/>
      <c r="K454" s="150"/>
      <c r="L454" s="150"/>
      <c r="M454" s="150"/>
      <c r="N454" s="150"/>
      <c r="O454" s="150"/>
      <c r="P454" s="150"/>
      <c r="Q454" s="150"/>
      <c r="R454" s="150"/>
      <c r="S454" s="150"/>
      <c r="T454" s="186"/>
      <c r="U454" s="186"/>
      <c r="V454" s="186"/>
      <c r="W454" s="186"/>
      <c r="X454" s="186"/>
      <c r="Y454" s="186"/>
      <c r="Z454" s="186"/>
      <c r="AA454" s="186"/>
      <c r="AB454" s="186"/>
      <c r="AC454" s="186"/>
      <c r="AD454" s="186"/>
      <c r="AF454" s="150"/>
      <c r="AG454" s="150"/>
      <c r="AH454" s="150"/>
      <c r="AI454" s="150"/>
      <c r="AJ454" s="150"/>
      <c r="AK454" s="150"/>
      <c r="AL454" s="150"/>
      <c r="AM454" s="150"/>
      <c r="AN454" s="150"/>
      <c r="AO454" s="150"/>
      <c r="AP454" s="150"/>
      <c r="AQ454" s="150"/>
      <c r="AT454" s="186"/>
      <c r="AU454" s="186"/>
      <c r="AV454" s="186"/>
      <c r="AW454" s="186"/>
      <c r="AX454" s="186"/>
      <c r="AY454" s="186"/>
      <c r="AZ454" s="186"/>
      <c r="BA454" s="186"/>
      <c r="BB454" s="186"/>
      <c r="BC454" s="186"/>
      <c r="BD454" s="186"/>
      <c r="BE454" s="186"/>
      <c r="BF454" s="150"/>
      <c r="BG454" s="150"/>
    </row>
    <row r="455" spans="3:59" ht="14.6">
      <c r="C455" s="289"/>
      <c r="D455" s="150"/>
      <c r="E455" s="150"/>
      <c r="F455" s="150"/>
      <c r="G455" s="150"/>
      <c r="H455" s="150"/>
      <c r="I455" s="150"/>
      <c r="J455" s="150"/>
      <c r="K455" s="150"/>
      <c r="L455" s="150"/>
      <c r="M455" s="150"/>
      <c r="N455" s="150"/>
      <c r="O455" s="150"/>
      <c r="P455" s="150"/>
      <c r="Q455" s="150"/>
      <c r="R455" s="150"/>
      <c r="S455" s="150"/>
      <c r="T455" s="186"/>
      <c r="U455" s="186"/>
      <c r="V455" s="186"/>
      <c r="W455" s="186"/>
      <c r="X455" s="186"/>
      <c r="Y455" s="186"/>
      <c r="Z455" s="186"/>
      <c r="AA455" s="186"/>
      <c r="AB455" s="186"/>
      <c r="AC455" s="186"/>
      <c r="AD455" s="186"/>
      <c r="AF455" s="150"/>
      <c r="AG455" s="150"/>
      <c r="AH455" s="150"/>
      <c r="AI455" s="150"/>
      <c r="AJ455" s="150"/>
      <c r="AK455" s="150"/>
      <c r="AL455" s="150"/>
      <c r="AM455" s="150"/>
      <c r="AN455" s="150"/>
      <c r="AO455" s="150"/>
      <c r="AP455" s="150"/>
      <c r="AQ455" s="150"/>
      <c r="AT455" s="186"/>
      <c r="AU455" s="186"/>
      <c r="AV455" s="186"/>
      <c r="AW455" s="186"/>
      <c r="AX455" s="186"/>
      <c r="AY455" s="186"/>
      <c r="AZ455" s="186"/>
      <c r="BA455" s="186"/>
      <c r="BB455" s="186"/>
      <c r="BC455" s="186"/>
      <c r="BD455" s="186"/>
      <c r="BE455" s="186"/>
      <c r="BF455" s="150"/>
      <c r="BG455" s="150"/>
    </row>
    <row r="456" spans="3:59" ht="14.6">
      <c r="C456" s="289"/>
      <c r="D456" s="150"/>
      <c r="E456" s="150"/>
      <c r="F456" s="150"/>
      <c r="G456" s="150"/>
      <c r="H456" s="150"/>
      <c r="I456" s="150"/>
      <c r="J456" s="150"/>
      <c r="K456" s="150"/>
      <c r="L456" s="150"/>
      <c r="M456" s="150"/>
      <c r="N456" s="150"/>
      <c r="O456" s="150"/>
      <c r="P456" s="150"/>
      <c r="Q456" s="150"/>
      <c r="R456" s="150"/>
      <c r="S456" s="150"/>
      <c r="T456" s="186"/>
      <c r="U456" s="186"/>
      <c r="V456" s="186"/>
      <c r="W456" s="186"/>
      <c r="X456" s="186"/>
      <c r="Y456" s="186"/>
      <c r="Z456" s="186"/>
      <c r="AA456" s="186"/>
      <c r="AB456" s="186"/>
      <c r="AC456" s="186"/>
      <c r="AD456" s="186"/>
      <c r="AF456" s="150"/>
      <c r="AG456" s="150"/>
      <c r="AH456" s="150"/>
      <c r="AI456" s="150"/>
      <c r="AJ456" s="150"/>
      <c r="AK456" s="150"/>
      <c r="AL456" s="150"/>
      <c r="AM456" s="150"/>
      <c r="AN456" s="150"/>
      <c r="AO456" s="150"/>
      <c r="AP456" s="150"/>
      <c r="AQ456" s="150"/>
      <c r="AT456" s="186"/>
      <c r="AU456" s="186"/>
      <c r="AV456" s="186"/>
      <c r="AW456" s="186"/>
      <c r="AX456" s="186"/>
      <c r="AY456" s="186"/>
      <c r="AZ456" s="186"/>
      <c r="BA456" s="186"/>
      <c r="BB456" s="186"/>
      <c r="BC456" s="186"/>
      <c r="BD456" s="186"/>
      <c r="BE456" s="186"/>
      <c r="BF456" s="150"/>
      <c r="BG456" s="150"/>
    </row>
    <row r="457" spans="3:59" ht="14.6">
      <c r="C457" s="289"/>
      <c r="D457" s="150"/>
      <c r="E457" s="150"/>
      <c r="F457" s="150"/>
      <c r="G457" s="150"/>
      <c r="H457" s="150"/>
      <c r="I457" s="150"/>
      <c r="J457" s="150"/>
      <c r="K457" s="150"/>
      <c r="L457" s="150"/>
      <c r="M457" s="150"/>
      <c r="N457" s="150"/>
      <c r="O457" s="150"/>
      <c r="P457" s="150"/>
      <c r="Q457" s="150"/>
      <c r="R457" s="150"/>
      <c r="S457" s="150"/>
      <c r="T457" s="186"/>
      <c r="U457" s="186"/>
      <c r="V457" s="186"/>
      <c r="W457" s="186"/>
      <c r="X457" s="186"/>
      <c r="Y457" s="186"/>
      <c r="Z457" s="186"/>
      <c r="AA457" s="186"/>
      <c r="AB457" s="186"/>
      <c r="AC457" s="186"/>
      <c r="AD457" s="186"/>
      <c r="AF457" s="150"/>
      <c r="AG457" s="150"/>
      <c r="AH457" s="150"/>
      <c r="AI457" s="150"/>
      <c r="AJ457" s="150"/>
      <c r="AK457" s="150"/>
      <c r="AL457" s="150"/>
      <c r="AM457" s="150"/>
      <c r="AN457" s="150"/>
      <c r="AO457" s="150"/>
      <c r="AP457" s="150"/>
      <c r="AQ457" s="150"/>
      <c r="AT457" s="186"/>
      <c r="AU457" s="186"/>
      <c r="AV457" s="186"/>
      <c r="AW457" s="186"/>
      <c r="AX457" s="186"/>
      <c r="AY457" s="186"/>
      <c r="AZ457" s="186"/>
      <c r="BA457" s="186"/>
      <c r="BB457" s="186"/>
      <c r="BC457" s="186"/>
      <c r="BD457" s="186"/>
      <c r="BE457" s="186"/>
      <c r="BF457" s="150"/>
      <c r="BG457" s="150"/>
    </row>
    <row r="458" spans="3:59" ht="14.6">
      <c r="C458" s="289"/>
      <c r="D458" s="150"/>
      <c r="E458" s="150"/>
      <c r="F458" s="150"/>
      <c r="G458" s="150"/>
      <c r="H458" s="150"/>
      <c r="I458" s="150"/>
      <c r="J458" s="150"/>
      <c r="K458" s="150"/>
      <c r="L458" s="150"/>
      <c r="M458" s="150"/>
      <c r="N458" s="150"/>
      <c r="O458" s="150"/>
      <c r="P458" s="150"/>
      <c r="Q458" s="150"/>
      <c r="R458" s="150"/>
      <c r="S458" s="150"/>
      <c r="T458" s="186"/>
      <c r="U458" s="186"/>
      <c r="V458" s="186"/>
      <c r="W458" s="186"/>
      <c r="X458" s="186"/>
      <c r="Y458" s="186"/>
      <c r="Z458" s="186"/>
      <c r="AA458" s="186"/>
      <c r="AB458" s="186"/>
      <c r="AC458" s="186"/>
      <c r="AD458" s="186"/>
      <c r="AF458" s="150"/>
      <c r="AG458" s="150"/>
      <c r="AH458" s="150"/>
      <c r="AI458" s="150"/>
      <c r="AJ458" s="150"/>
      <c r="AK458" s="150"/>
      <c r="AL458" s="150"/>
      <c r="AM458" s="150"/>
      <c r="AN458" s="150"/>
      <c r="AO458" s="150"/>
      <c r="AP458" s="150"/>
      <c r="AQ458" s="150"/>
      <c r="AT458" s="186"/>
      <c r="AU458" s="186"/>
      <c r="AV458" s="186"/>
      <c r="AW458" s="186"/>
      <c r="AX458" s="186"/>
      <c r="AY458" s="186"/>
      <c r="AZ458" s="186"/>
      <c r="BA458" s="186"/>
      <c r="BB458" s="186"/>
      <c r="BC458" s="186"/>
      <c r="BD458" s="186"/>
      <c r="BE458" s="186"/>
      <c r="BF458" s="150"/>
      <c r="BG458" s="150"/>
    </row>
    <row r="459" spans="3:59" ht="14.6">
      <c r="C459" s="289"/>
      <c r="D459" s="150"/>
      <c r="E459" s="150"/>
      <c r="F459" s="150"/>
      <c r="G459" s="150"/>
      <c r="H459" s="150"/>
      <c r="I459" s="150"/>
      <c r="J459" s="150"/>
      <c r="K459" s="150"/>
      <c r="L459" s="150"/>
      <c r="M459" s="150"/>
      <c r="N459" s="150"/>
      <c r="O459" s="150"/>
      <c r="P459" s="150"/>
      <c r="Q459" s="150"/>
      <c r="R459" s="150"/>
      <c r="S459" s="150"/>
      <c r="T459" s="186"/>
      <c r="U459" s="186"/>
      <c r="V459" s="186"/>
      <c r="W459" s="186"/>
      <c r="X459" s="186"/>
      <c r="Y459" s="186"/>
      <c r="Z459" s="186"/>
      <c r="AA459" s="186"/>
      <c r="AB459" s="186"/>
      <c r="AC459" s="186"/>
      <c r="AD459" s="186"/>
      <c r="AF459" s="150"/>
      <c r="AG459" s="150"/>
      <c r="AH459" s="150"/>
      <c r="AI459" s="150"/>
      <c r="AJ459" s="150"/>
      <c r="AK459" s="150"/>
      <c r="AL459" s="150"/>
      <c r="AM459" s="150"/>
      <c r="AN459" s="150"/>
      <c r="AO459" s="150"/>
      <c r="AP459" s="150"/>
      <c r="AQ459" s="150"/>
      <c r="AT459" s="186"/>
      <c r="AU459" s="186"/>
      <c r="AV459" s="186"/>
      <c r="AW459" s="186"/>
      <c r="AX459" s="186"/>
      <c r="AY459" s="186"/>
      <c r="AZ459" s="186"/>
      <c r="BA459" s="186"/>
      <c r="BB459" s="186"/>
      <c r="BC459" s="186"/>
      <c r="BD459" s="186"/>
      <c r="BE459" s="186"/>
      <c r="BF459" s="150"/>
      <c r="BG459" s="150"/>
    </row>
    <row r="460" spans="3:59" ht="14.6">
      <c r="C460" s="289"/>
      <c r="D460" s="150"/>
      <c r="E460" s="150"/>
      <c r="F460" s="150"/>
      <c r="G460" s="150"/>
      <c r="H460" s="150"/>
      <c r="I460" s="150"/>
      <c r="J460" s="150"/>
      <c r="K460" s="150"/>
      <c r="L460" s="150"/>
      <c r="M460" s="150"/>
      <c r="N460" s="150"/>
      <c r="O460" s="150"/>
      <c r="P460" s="150"/>
      <c r="Q460" s="150"/>
      <c r="R460" s="150"/>
      <c r="S460" s="150"/>
      <c r="T460" s="186"/>
      <c r="U460" s="186"/>
      <c r="V460" s="186"/>
      <c r="W460" s="186"/>
      <c r="X460" s="186"/>
      <c r="Y460" s="186"/>
      <c r="Z460" s="186"/>
      <c r="AA460" s="186"/>
      <c r="AB460" s="186"/>
      <c r="AC460" s="186"/>
      <c r="AD460" s="186"/>
      <c r="AF460" s="150"/>
      <c r="AG460" s="150"/>
      <c r="AH460" s="150"/>
      <c r="AI460" s="150"/>
      <c r="AJ460" s="150"/>
      <c r="AK460" s="150"/>
      <c r="AL460" s="150"/>
      <c r="AM460" s="150"/>
      <c r="AN460" s="150"/>
      <c r="AO460" s="150"/>
      <c r="AP460" s="150"/>
      <c r="AQ460" s="150"/>
      <c r="AT460" s="186"/>
      <c r="AU460" s="186"/>
      <c r="AV460" s="186"/>
      <c r="AW460" s="186"/>
      <c r="AX460" s="186"/>
      <c r="AY460" s="186"/>
      <c r="AZ460" s="186"/>
      <c r="BA460" s="186"/>
      <c r="BB460" s="186"/>
      <c r="BC460" s="186"/>
      <c r="BD460" s="186"/>
      <c r="BE460" s="186"/>
      <c r="BF460" s="150"/>
      <c r="BG460" s="150"/>
    </row>
    <row r="461" spans="3:59" ht="14.6">
      <c r="C461" s="289"/>
      <c r="D461" s="150"/>
      <c r="E461" s="150"/>
      <c r="F461" s="150"/>
      <c r="G461" s="150"/>
      <c r="H461" s="150"/>
      <c r="I461" s="150"/>
      <c r="J461" s="150"/>
      <c r="K461" s="150"/>
      <c r="L461" s="150"/>
      <c r="M461" s="150"/>
      <c r="N461" s="150"/>
      <c r="O461" s="150"/>
      <c r="P461" s="150"/>
      <c r="Q461" s="150"/>
      <c r="R461" s="150"/>
      <c r="S461" s="150"/>
      <c r="T461" s="186"/>
      <c r="U461" s="186"/>
      <c r="V461" s="186"/>
      <c r="W461" s="186"/>
      <c r="X461" s="186"/>
      <c r="Y461" s="186"/>
      <c r="Z461" s="186"/>
      <c r="AA461" s="186"/>
      <c r="AB461" s="186"/>
      <c r="AC461" s="186"/>
      <c r="AD461" s="186"/>
      <c r="AF461" s="150"/>
      <c r="AG461" s="150"/>
      <c r="AH461" s="150"/>
      <c r="AI461" s="150"/>
      <c r="AJ461" s="150"/>
      <c r="AK461" s="150"/>
      <c r="AL461" s="150"/>
      <c r="AM461" s="150"/>
      <c r="AN461" s="150"/>
      <c r="AO461" s="150"/>
      <c r="AP461" s="150"/>
      <c r="AQ461" s="150"/>
      <c r="AT461" s="186"/>
      <c r="AU461" s="186"/>
      <c r="AV461" s="186"/>
      <c r="AW461" s="186"/>
      <c r="AX461" s="186"/>
      <c r="AY461" s="186"/>
      <c r="AZ461" s="186"/>
      <c r="BA461" s="186"/>
      <c r="BB461" s="186"/>
      <c r="BC461" s="186"/>
      <c r="BD461" s="186"/>
      <c r="BE461" s="186"/>
      <c r="BF461" s="150"/>
      <c r="BG461" s="150"/>
    </row>
    <row r="462" spans="3:59" ht="14.6">
      <c r="C462" s="289"/>
      <c r="D462" s="150"/>
      <c r="E462" s="150"/>
      <c r="F462" s="150"/>
      <c r="G462" s="150"/>
      <c r="H462" s="150"/>
      <c r="I462" s="150"/>
      <c r="J462" s="150"/>
      <c r="K462" s="150"/>
      <c r="L462" s="150"/>
      <c r="M462" s="150"/>
      <c r="N462" s="150"/>
      <c r="O462" s="150"/>
      <c r="P462" s="150"/>
      <c r="Q462" s="150"/>
      <c r="R462" s="150"/>
      <c r="S462" s="150"/>
      <c r="T462" s="186"/>
      <c r="U462" s="186"/>
      <c r="V462" s="186"/>
      <c r="W462" s="186"/>
      <c r="X462" s="186"/>
      <c r="Y462" s="186"/>
      <c r="Z462" s="186"/>
      <c r="AA462" s="186"/>
      <c r="AB462" s="186"/>
      <c r="AC462" s="186"/>
      <c r="AD462" s="186"/>
      <c r="AF462" s="150"/>
      <c r="AG462" s="150"/>
      <c r="AH462" s="150"/>
      <c r="AI462" s="150"/>
      <c r="AJ462" s="150"/>
      <c r="AK462" s="150"/>
      <c r="AL462" s="150"/>
      <c r="AM462" s="150"/>
      <c r="AN462" s="150"/>
      <c r="AO462" s="150"/>
      <c r="AP462" s="150"/>
      <c r="AQ462" s="150"/>
      <c r="AT462" s="186"/>
      <c r="AU462" s="186"/>
      <c r="AV462" s="186"/>
      <c r="AW462" s="186"/>
      <c r="AX462" s="186"/>
      <c r="AY462" s="186"/>
      <c r="AZ462" s="186"/>
      <c r="BA462" s="186"/>
      <c r="BB462" s="186"/>
      <c r="BC462" s="186"/>
      <c r="BD462" s="186"/>
      <c r="BE462" s="186"/>
      <c r="BF462" s="150"/>
      <c r="BG462" s="150"/>
    </row>
    <row r="463" spans="3:59" ht="14.6">
      <c r="C463" s="289"/>
      <c r="D463" s="150"/>
      <c r="E463" s="150"/>
      <c r="F463" s="150"/>
      <c r="G463" s="150"/>
      <c r="H463" s="150"/>
      <c r="I463" s="150"/>
      <c r="J463" s="150"/>
      <c r="K463" s="150"/>
      <c r="L463" s="150"/>
      <c r="M463" s="150"/>
      <c r="N463" s="150"/>
      <c r="O463" s="150"/>
      <c r="P463" s="150"/>
      <c r="Q463" s="150"/>
      <c r="R463" s="150"/>
      <c r="S463" s="150"/>
      <c r="T463" s="186"/>
      <c r="U463" s="186"/>
      <c r="V463" s="186"/>
      <c r="W463" s="186"/>
      <c r="X463" s="186"/>
      <c r="Y463" s="186"/>
      <c r="Z463" s="186"/>
      <c r="AA463" s="186"/>
      <c r="AB463" s="186"/>
      <c r="AC463" s="186"/>
      <c r="AD463" s="186"/>
      <c r="AF463" s="150"/>
      <c r="AG463" s="150"/>
      <c r="AH463" s="150"/>
      <c r="AI463" s="150"/>
      <c r="AJ463" s="150"/>
      <c r="AK463" s="150"/>
      <c r="AL463" s="150"/>
      <c r="AM463" s="150"/>
      <c r="AN463" s="150"/>
      <c r="AO463" s="150"/>
      <c r="AP463" s="150"/>
      <c r="AQ463" s="150"/>
      <c r="AT463" s="186"/>
      <c r="AU463" s="186"/>
      <c r="AV463" s="186"/>
      <c r="AW463" s="186"/>
      <c r="AX463" s="186"/>
      <c r="AY463" s="186"/>
      <c r="AZ463" s="186"/>
      <c r="BA463" s="186"/>
      <c r="BB463" s="186"/>
      <c r="BC463" s="186"/>
      <c r="BD463" s="186"/>
      <c r="BE463" s="186"/>
      <c r="BF463" s="150"/>
      <c r="BG463" s="150"/>
    </row>
    <row r="464" spans="3:59" ht="14.6">
      <c r="C464" s="289"/>
      <c r="D464" s="150"/>
      <c r="E464" s="150"/>
      <c r="F464" s="150"/>
      <c r="G464" s="150"/>
      <c r="H464" s="150"/>
      <c r="I464" s="150"/>
      <c r="J464" s="150"/>
      <c r="K464" s="150"/>
      <c r="L464" s="150"/>
      <c r="M464" s="150"/>
      <c r="N464" s="150"/>
      <c r="O464" s="150"/>
      <c r="P464" s="150"/>
      <c r="Q464" s="150"/>
      <c r="R464" s="150"/>
      <c r="S464" s="150"/>
      <c r="T464" s="186"/>
      <c r="U464" s="186"/>
      <c r="V464" s="186"/>
      <c r="W464" s="186"/>
      <c r="X464" s="186"/>
      <c r="Y464" s="186"/>
      <c r="Z464" s="186"/>
      <c r="AA464" s="186"/>
      <c r="AB464" s="186"/>
      <c r="AC464" s="186"/>
      <c r="AD464" s="186"/>
      <c r="AF464" s="150"/>
      <c r="AG464" s="150"/>
      <c r="AH464" s="150"/>
      <c r="AI464" s="150"/>
      <c r="AJ464" s="150"/>
      <c r="AK464" s="150"/>
      <c r="AL464" s="150"/>
      <c r="AM464" s="150"/>
      <c r="AN464" s="150"/>
      <c r="AO464" s="150"/>
      <c r="AP464" s="150"/>
      <c r="AQ464" s="150"/>
      <c r="AT464" s="186"/>
      <c r="AU464" s="186"/>
      <c r="AV464" s="186"/>
      <c r="AW464" s="186"/>
      <c r="AX464" s="186"/>
      <c r="AY464" s="186"/>
      <c r="AZ464" s="186"/>
      <c r="BA464" s="186"/>
      <c r="BB464" s="186"/>
      <c r="BC464" s="186"/>
      <c r="BD464" s="186"/>
      <c r="BE464" s="186"/>
      <c r="BF464" s="150"/>
      <c r="BG464" s="150"/>
    </row>
    <row r="465" spans="3:59" ht="14.6">
      <c r="C465" s="289"/>
      <c r="D465" s="150"/>
      <c r="E465" s="150"/>
      <c r="F465" s="150"/>
      <c r="G465" s="150"/>
      <c r="H465" s="150"/>
      <c r="I465" s="150"/>
      <c r="J465" s="150"/>
      <c r="K465" s="150"/>
      <c r="L465" s="150"/>
      <c r="M465" s="150"/>
      <c r="N465" s="150"/>
      <c r="O465" s="150"/>
      <c r="P465" s="150"/>
      <c r="Q465" s="150"/>
      <c r="R465" s="150"/>
      <c r="S465" s="150"/>
      <c r="T465" s="186"/>
      <c r="U465" s="186"/>
      <c r="V465" s="186"/>
      <c r="W465" s="186"/>
      <c r="X465" s="186"/>
      <c r="Y465" s="186"/>
      <c r="Z465" s="186"/>
      <c r="AA465" s="186"/>
      <c r="AB465" s="186"/>
      <c r="AC465" s="186"/>
      <c r="AD465" s="186"/>
      <c r="AF465" s="150"/>
      <c r="AG465" s="150"/>
      <c r="AH465" s="150"/>
      <c r="AI465" s="150"/>
      <c r="AJ465" s="150"/>
      <c r="AK465" s="150"/>
      <c r="AL465" s="150"/>
      <c r="AM465" s="150"/>
      <c r="AN465" s="150"/>
      <c r="AO465" s="150"/>
      <c r="AP465" s="150"/>
      <c r="AQ465" s="150"/>
      <c r="AT465" s="186"/>
      <c r="AU465" s="186"/>
      <c r="AV465" s="186"/>
      <c r="AW465" s="186"/>
      <c r="AX465" s="186"/>
      <c r="AY465" s="186"/>
      <c r="AZ465" s="186"/>
      <c r="BA465" s="186"/>
      <c r="BB465" s="186"/>
      <c r="BC465" s="186"/>
      <c r="BD465" s="186"/>
      <c r="BE465" s="186"/>
      <c r="BF465" s="150"/>
      <c r="BG465" s="150"/>
    </row>
    <row r="466" spans="3:59" ht="14.6">
      <c r="C466" s="289"/>
      <c r="D466" s="150"/>
      <c r="E466" s="150"/>
      <c r="F466" s="150"/>
      <c r="G466" s="150"/>
      <c r="H466" s="150"/>
      <c r="I466" s="150"/>
      <c r="J466" s="150"/>
      <c r="K466" s="150"/>
      <c r="L466" s="150"/>
      <c r="M466" s="150"/>
      <c r="N466" s="150"/>
      <c r="O466" s="150"/>
      <c r="P466" s="150"/>
      <c r="Q466" s="150"/>
      <c r="R466" s="150"/>
      <c r="S466" s="150"/>
      <c r="T466" s="186"/>
      <c r="U466" s="186"/>
      <c r="V466" s="186"/>
      <c r="W466" s="186"/>
      <c r="X466" s="186"/>
      <c r="Y466" s="186"/>
      <c r="Z466" s="186"/>
      <c r="AA466" s="186"/>
      <c r="AB466" s="186"/>
      <c r="AC466" s="186"/>
      <c r="AD466" s="186"/>
      <c r="AF466" s="150"/>
      <c r="AG466" s="150"/>
      <c r="AH466" s="150"/>
      <c r="AI466" s="150"/>
      <c r="AJ466" s="150"/>
      <c r="AK466" s="150"/>
      <c r="AL466" s="150"/>
      <c r="AM466" s="150"/>
      <c r="AN466" s="150"/>
      <c r="AO466" s="150"/>
      <c r="AP466" s="150"/>
      <c r="AQ466" s="150"/>
      <c r="AT466" s="186"/>
      <c r="AU466" s="186"/>
      <c r="AV466" s="186"/>
      <c r="AW466" s="186"/>
      <c r="AX466" s="186"/>
      <c r="AY466" s="186"/>
      <c r="AZ466" s="186"/>
      <c r="BA466" s="186"/>
      <c r="BB466" s="186"/>
      <c r="BC466" s="186"/>
      <c r="BD466" s="186"/>
      <c r="BE466" s="186"/>
      <c r="BF466" s="150"/>
      <c r="BG466" s="150"/>
    </row>
    <row r="467" spans="3:59" ht="14.6">
      <c r="C467" s="289"/>
      <c r="D467" s="150"/>
      <c r="E467" s="150"/>
      <c r="F467" s="150"/>
      <c r="G467" s="150"/>
      <c r="H467" s="150"/>
      <c r="I467" s="150"/>
      <c r="J467" s="150"/>
      <c r="K467" s="150"/>
      <c r="L467" s="150"/>
      <c r="M467" s="150"/>
      <c r="N467" s="150"/>
      <c r="O467" s="150"/>
      <c r="P467" s="150"/>
      <c r="Q467" s="150"/>
      <c r="R467" s="150"/>
      <c r="S467" s="150"/>
      <c r="T467" s="186"/>
      <c r="U467" s="186"/>
      <c r="V467" s="186"/>
      <c r="W467" s="186"/>
      <c r="X467" s="186"/>
      <c r="Y467" s="186"/>
      <c r="Z467" s="186"/>
      <c r="AA467" s="186"/>
      <c r="AB467" s="186"/>
      <c r="AC467" s="186"/>
      <c r="AD467" s="186"/>
      <c r="AF467" s="150"/>
      <c r="AG467" s="150"/>
      <c r="AH467" s="150"/>
      <c r="AI467" s="150"/>
      <c r="AJ467" s="150"/>
      <c r="AK467" s="150"/>
      <c r="AL467" s="150"/>
      <c r="AM467" s="150"/>
      <c r="AN467" s="150"/>
      <c r="AO467" s="150"/>
      <c r="AP467" s="150"/>
      <c r="AQ467" s="150"/>
      <c r="AT467" s="186"/>
      <c r="AU467" s="186"/>
      <c r="AV467" s="186"/>
      <c r="AW467" s="186"/>
      <c r="AX467" s="186"/>
      <c r="AY467" s="186"/>
      <c r="AZ467" s="186"/>
      <c r="BA467" s="186"/>
      <c r="BB467" s="186"/>
      <c r="BC467" s="186"/>
      <c r="BD467" s="186"/>
      <c r="BE467" s="186"/>
      <c r="BF467" s="150"/>
      <c r="BG467" s="150"/>
    </row>
    <row r="468" spans="3:59" ht="14.6">
      <c r="C468" s="289"/>
      <c r="D468" s="150"/>
      <c r="E468" s="150"/>
      <c r="F468" s="150"/>
      <c r="G468" s="150"/>
      <c r="H468" s="150"/>
      <c r="I468" s="150"/>
      <c r="J468" s="150"/>
      <c r="K468" s="150"/>
      <c r="L468" s="150"/>
      <c r="M468" s="150"/>
      <c r="N468" s="150"/>
      <c r="O468" s="150"/>
      <c r="P468" s="150"/>
      <c r="Q468" s="150"/>
      <c r="R468" s="150"/>
      <c r="S468" s="150"/>
      <c r="T468" s="186"/>
      <c r="U468" s="186"/>
      <c r="V468" s="186"/>
      <c r="W468" s="186"/>
      <c r="X468" s="186"/>
      <c r="Y468" s="186"/>
      <c r="Z468" s="186"/>
      <c r="AA468" s="186"/>
      <c r="AB468" s="186"/>
      <c r="AC468" s="186"/>
      <c r="AD468" s="186"/>
      <c r="AF468" s="150"/>
      <c r="AG468" s="150"/>
      <c r="AH468" s="150"/>
      <c r="AI468" s="150"/>
      <c r="AJ468" s="150"/>
      <c r="AK468" s="150"/>
      <c r="AL468" s="150"/>
      <c r="AM468" s="150"/>
      <c r="AN468" s="150"/>
      <c r="AO468" s="150"/>
      <c r="AP468" s="150"/>
      <c r="AQ468" s="150"/>
      <c r="AT468" s="186"/>
      <c r="AU468" s="186"/>
      <c r="AV468" s="186"/>
      <c r="AW468" s="186"/>
      <c r="AX468" s="186"/>
      <c r="AY468" s="186"/>
      <c r="AZ468" s="186"/>
      <c r="BA468" s="186"/>
      <c r="BB468" s="186"/>
      <c r="BC468" s="186"/>
      <c r="BD468" s="186"/>
      <c r="BE468" s="186"/>
      <c r="BF468" s="150"/>
      <c r="BG468" s="150"/>
    </row>
    <row r="469" spans="3:59" ht="14.6">
      <c r="C469" s="289"/>
      <c r="D469" s="150"/>
      <c r="E469" s="150"/>
      <c r="F469" s="150"/>
      <c r="G469" s="150"/>
      <c r="H469" s="150"/>
      <c r="I469" s="150"/>
      <c r="J469" s="150"/>
      <c r="K469" s="150"/>
      <c r="L469" s="150"/>
      <c r="M469" s="150"/>
      <c r="N469" s="150"/>
      <c r="O469" s="150"/>
      <c r="P469" s="150"/>
      <c r="Q469" s="150"/>
      <c r="R469" s="150"/>
      <c r="S469" s="150"/>
      <c r="T469" s="186"/>
      <c r="U469" s="186"/>
      <c r="V469" s="186"/>
      <c r="W469" s="186"/>
      <c r="X469" s="186"/>
      <c r="Y469" s="186"/>
      <c r="Z469" s="186"/>
      <c r="AA469" s="186"/>
      <c r="AB469" s="186"/>
      <c r="AC469" s="186"/>
      <c r="AD469" s="186"/>
      <c r="AF469" s="150"/>
      <c r="AG469" s="150"/>
      <c r="AH469" s="150"/>
      <c r="AI469" s="150"/>
      <c r="AJ469" s="150"/>
      <c r="AK469" s="150"/>
      <c r="AL469" s="150"/>
      <c r="AM469" s="150"/>
      <c r="AN469" s="150"/>
      <c r="AO469" s="150"/>
      <c r="AP469" s="150"/>
      <c r="AQ469" s="150"/>
      <c r="AT469" s="186"/>
      <c r="AU469" s="186"/>
      <c r="AV469" s="186"/>
      <c r="AW469" s="186"/>
      <c r="AX469" s="186"/>
      <c r="AY469" s="186"/>
      <c r="AZ469" s="186"/>
      <c r="BA469" s="186"/>
      <c r="BB469" s="186"/>
      <c r="BC469" s="186"/>
      <c r="BD469" s="186"/>
      <c r="BE469" s="186"/>
      <c r="BF469" s="150"/>
      <c r="BG469" s="150"/>
    </row>
    <row r="470" spans="3:59" ht="14.6">
      <c r="C470" s="289"/>
      <c r="D470" s="150"/>
      <c r="E470" s="150"/>
      <c r="F470" s="150"/>
      <c r="G470" s="150"/>
      <c r="H470" s="150"/>
      <c r="I470" s="150"/>
      <c r="J470" s="150"/>
      <c r="K470" s="150"/>
      <c r="L470" s="150"/>
      <c r="M470" s="150"/>
      <c r="N470" s="150"/>
      <c r="O470" s="150"/>
      <c r="P470" s="150"/>
      <c r="Q470" s="150"/>
      <c r="R470" s="150"/>
      <c r="S470" s="150"/>
      <c r="T470" s="186"/>
      <c r="U470" s="186"/>
      <c r="V470" s="186"/>
      <c r="W470" s="186"/>
      <c r="X470" s="186"/>
      <c r="Y470" s="186"/>
      <c r="Z470" s="186"/>
      <c r="AA470" s="186"/>
      <c r="AB470" s="186"/>
      <c r="AC470" s="186"/>
      <c r="AD470" s="186"/>
      <c r="AF470" s="150"/>
      <c r="AG470" s="150"/>
      <c r="AH470" s="150"/>
      <c r="AI470" s="150"/>
      <c r="AJ470" s="150"/>
      <c r="AK470" s="150"/>
      <c r="AL470" s="150"/>
      <c r="AM470" s="150"/>
      <c r="AN470" s="150"/>
      <c r="AO470" s="150"/>
      <c r="AP470" s="150"/>
      <c r="AQ470" s="150"/>
      <c r="AT470" s="186"/>
      <c r="AU470" s="186"/>
      <c r="AV470" s="186"/>
      <c r="AW470" s="186"/>
      <c r="AX470" s="186"/>
      <c r="AY470" s="186"/>
      <c r="AZ470" s="186"/>
      <c r="BA470" s="186"/>
      <c r="BB470" s="186"/>
      <c r="BC470" s="186"/>
      <c r="BD470" s="186"/>
      <c r="BE470" s="186"/>
      <c r="BF470" s="150"/>
      <c r="BG470" s="150"/>
    </row>
    <row r="471" spans="3:59" ht="14.6">
      <c r="C471" s="289"/>
      <c r="D471" s="150"/>
      <c r="E471" s="150"/>
      <c r="F471" s="150"/>
      <c r="G471" s="150"/>
      <c r="H471" s="150"/>
      <c r="I471" s="150"/>
      <c r="J471" s="150"/>
      <c r="K471" s="150"/>
      <c r="L471" s="150"/>
      <c r="M471" s="150"/>
      <c r="N471" s="150"/>
      <c r="O471" s="150"/>
      <c r="P471" s="150"/>
      <c r="Q471" s="150"/>
      <c r="R471" s="150"/>
      <c r="S471" s="150"/>
      <c r="T471" s="186"/>
      <c r="U471" s="186"/>
      <c r="V471" s="186"/>
      <c r="W471" s="186"/>
      <c r="X471" s="186"/>
      <c r="Y471" s="186"/>
      <c r="Z471" s="186"/>
      <c r="AA471" s="186"/>
      <c r="AB471" s="186"/>
      <c r="AC471" s="186"/>
      <c r="AD471" s="186"/>
      <c r="AF471" s="150"/>
      <c r="AG471" s="150"/>
      <c r="AH471" s="150"/>
      <c r="AI471" s="150"/>
      <c r="AJ471" s="150"/>
      <c r="AK471" s="150"/>
      <c r="AL471" s="150"/>
      <c r="AM471" s="150"/>
      <c r="AN471" s="150"/>
      <c r="AO471" s="150"/>
      <c r="AP471" s="150"/>
      <c r="AQ471" s="150"/>
      <c r="AT471" s="186"/>
      <c r="AU471" s="186"/>
      <c r="AV471" s="186"/>
      <c r="AW471" s="186"/>
      <c r="AX471" s="186"/>
      <c r="AY471" s="186"/>
      <c r="AZ471" s="186"/>
      <c r="BA471" s="186"/>
      <c r="BB471" s="186"/>
      <c r="BC471" s="186"/>
      <c r="BD471" s="186"/>
      <c r="BE471" s="186"/>
      <c r="BF471" s="150"/>
      <c r="BG471" s="150"/>
    </row>
    <row r="472" spans="3:59" ht="14.6">
      <c r="C472" s="289"/>
      <c r="D472" s="150"/>
      <c r="E472" s="150"/>
      <c r="F472" s="150"/>
      <c r="G472" s="150"/>
      <c r="H472" s="150"/>
      <c r="I472" s="150"/>
      <c r="J472" s="150"/>
      <c r="K472" s="150"/>
      <c r="L472" s="150"/>
      <c r="M472" s="150"/>
      <c r="N472" s="150"/>
      <c r="O472" s="150"/>
      <c r="P472" s="150"/>
      <c r="Q472" s="150"/>
      <c r="R472" s="150"/>
      <c r="S472" s="150"/>
      <c r="T472" s="186"/>
      <c r="U472" s="186"/>
      <c r="V472" s="186"/>
      <c r="W472" s="186"/>
      <c r="X472" s="186"/>
      <c r="Y472" s="186"/>
      <c r="Z472" s="186"/>
      <c r="AA472" s="186"/>
      <c r="AB472" s="186"/>
      <c r="AC472" s="186"/>
      <c r="AD472" s="186"/>
      <c r="AF472" s="150"/>
      <c r="AG472" s="150"/>
      <c r="AH472" s="150"/>
      <c r="AI472" s="150"/>
      <c r="AJ472" s="150"/>
      <c r="AK472" s="150"/>
      <c r="AL472" s="150"/>
      <c r="AM472" s="150"/>
      <c r="AN472" s="150"/>
      <c r="AO472" s="150"/>
      <c r="AP472" s="150"/>
      <c r="AQ472" s="150"/>
      <c r="AT472" s="186"/>
      <c r="AU472" s="186"/>
      <c r="AV472" s="186"/>
      <c r="AW472" s="186"/>
      <c r="AX472" s="186"/>
      <c r="AY472" s="186"/>
      <c r="AZ472" s="186"/>
      <c r="BA472" s="186"/>
      <c r="BB472" s="186"/>
      <c r="BC472" s="186"/>
      <c r="BD472" s="186"/>
      <c r="BE472" s="186"/>
      <c r="BF472" s="150"/>
      <c r="BG472" s="150"/>
    </row>
    <row r="473" spans="3:59" ht="14.6">
      <c r="C473" s="289"/>
      <c r="D473" s="150"/>
      <c r="E473" s="150"/>
      <c r="F473" s="150"/>
      <c r="G473" s="150"/>
      <c r="H473" s="150"/>
      <c r="I473" s="150"/>
      <c r="J473" s="150"/>
      <c r="K473" s="150"/>
      <c r="L473" s="150"/>
      <c r="M473" s="150"/>
      <c r="N473" s="150"/>
      <c r="O473" s="150"/>
      <c r="P473" s="150"/>
      <c r="Q473" s="150"/>
      <c r="R473" s="150"/>
      <c r="S473" s="150"/>
      <c r="T473" s="186"/>
      <c r="U473" s="186"/>
      <c r="V473" s="186"/>
      <c r="W473" s="186"/>
      <c r="X473" s="186"/>
      <c r="Y473" s="186"/>
      <c r="Z473" s="186"/>
      <c r="AA473" s="186"/>
      <c r="AB473" s="186"/>
      <c r="AC473" s="186"/>
      <c r="AD473" s="186"/>
      <c r="AF473" s="150"/>
      <c r="AG473" s="150"/>
      <c r="AH473" s="150"/>
      <c r="AI473" s="150"/>
      <c r="AJ473" s="150"/>
      <c r="AK473" s="150"/>
      <c r="AL473" s="150"/>
      <c r="AM473" s="150"/>
      <c r="AN473" s="150"/>
      <c r="AO473" s="150"/>
      <c r="AP473" s="150"/>
      <c r="AQ473" s="150"/>
      <c r="AT473" s="186"/>
      <c r="AU473" s="186"/>
      <c r="AV473" s="186"/>
      <c r="AW473" s="186"/>
      <c r="AX473" s="186"/>
      <c r="AY473" s="186"/>
      <c r="AZ473" s="186"/>
      <c r="BA473" s="186"/>
      <c r="BB473" s="186"/>
      <c r="BC473" s="186"/>
      <c r="BD473" s="186"/>
      <c r="BE473" s="186"/>
      <c r="BF473" s="150"/>
      <c r="BG473" s="150"/>
    </row>
    <row r="474" spans="3:59" ht="14.6">
      <c r="C474" s="289"/>
      <c r="D474" s="150"/>
      <c r="E474" s="150"/>
      <c r="F474" s="150"/>
      <c r="G474" s="150"/>
      <c r="H474" s="150"/>
      <c r="I474" s="150"/>
      <c r="J474" s="150"/>
      <c r="K474" s="150"/>
      <c r="L474" s="150"/>
      <c r="M474" s="150"/>
      <c r="N474" s="150"/>
      <c r="O474" s="150"/>
      <c r="P474" s="150"/>
      <c r="Q474" s="150"/>
      <c r="R474" s="150"/>
      <c r="S474" s="150"/>
      <c r="T474" s="186"/>
      <c r="U474" s="186"/>
      <c r="V474" s="186"/>
      <c r="W474" s="186"/>
      <c r="X474" s="186"/>
      <c r="Y474" s="186"/>
      <c r="Z474" s="186"/>
      <c r="AA474" s="186"/>
      <c r="AB474" s="186"/>
      <c r="AC474" s="186"/>
      <c r="AD474" s="186"/>
      <c r="AF474" s="150"/>
      <c r="AG474" s="150"/>
      <c r="AH474" s="150"/>
      <c r="AI474" s="150"/>
      <c r="AJ474" s="150"/>
      <c r="AK474" s="150"/>
      <c r="AL474" s="150"/>
      <c r="AM474" s="150"/>
      <c r="AN474" s="150"/>
      <c r="AO474" s="150"/>
      <c r="AP474" s="150"/>
      <c r="AQ474" s="150"/>
      <c r="AT474" s="186"/>
      <c r="AU474" s="186"/>
      <c r="AV474" s="186"/>
      <c r="AW474" s="186"/>
      <c r="AX474" s="186"/>
      <c r="AY474" s="186"/>
      <c r="AZ474" s="186"/>
      <c r="BA474" s="186"/>
      <c r="BB474" s="186"/>
      <c r="BC474" s="186"/>
      <c r="BD474" s="186"/>
      <c r="BE474" s="186"/>
      <c r="BF474" s="150"/>
      <c r="BG474" s="150"/>
    </row>
    <row r="475" spans="3:59" ht="14.6">
      <c r="C475" s="289"/>
      <c r="D475" s="150"/>
      <c r="E475" s="150"/>
      <c r="F475" s="150"/>
      <c r="G475" s="150"/>
      <c r="H475" s="150"/>
      <c r="I475" s="150"/>
      <c r="J475" s="150"/>
      <c r="K475" s="150"/>
      <c r="L475" s="150"/>
      <c r="M475" s="150"/>
      <c r="N475" s="150"/>
      <c r="O475" s="150"/>
      <c r="P475" s="150"/>
      <c r="Q475" s="150"/>
      <c r="R475" s="150"/>
      <c r="S475" s="150"/>
      <c r="T475" s="186"/>
      <c r="U475" s="186"/>
      <c r="V475" s="186"/>
      <c r="W475" s="186"/>
      <c r="X475" s="186"/>
      <c r="Y475" s="186"/>
      <c r="Z475" s="186"/>
      <c r="AA475" s="186"/>
      <c r="AB475" s="186"/>
      <c r="AC475" s="186"/>
      <c r="AD475" s="186"/>
      <c r="AF475" s="150"/>
      <c r="AG475" s="150"/>
      <c r="AH475" s="150"/>
      <c r="AI475" s="150"/>
      <c r="AJ475" s="150"/>
      <c r="AK475" s="150"/>
      <c r="AL475" s="150"/>
      <c r="AM475" s="150"/>
      <c r="AN475" s="150"/>
      <c r="AO475" s="150"/>
      <c r="AP475" s="150"/>
      <c r="AQ475" s="150"/>
      <c r="AT475" s="186"/>
      <c r="AU475" s="186"/>
      <c r="AV475" s="186"/>
      <c r="AW475" s="186"/>
      <c r="AX475" s="186"/>
      <c r="AY475" s="186"/>
      <c r="AZ475" s="186"/>
      <c r="BA475" s="186"/>
      <c r="BB475" s="186"/>
      <c r="BC475" s="186"/>
      <c r="BD475" s="186"/>
      <c r="BE475" s="186"/>
      <c r="BF475" s="150"/>
      <c r="BG475" s="150"/>
    </row>
    <row r="476" spans="3:59" ht="14.6">
      <c r="C476" s="289"/>
      <c r="D476" s="150"/>
      <c r="E476" s="150"/>
      <c r="F476" s="150"/>
      <c r="G476" s="150"/>
      <c r="H476" s="150"/>
      <c r="I476" s="150"/>
      <c r="J476" s="150"/>
      <c r="K476" s="150"/>
      <c r="L476" s="150"/>
      <c r="M476" s="150"/>
      <c r="N476" s="150"/>
      <c r="O476" s="150"/>
      <c r="P476" s="150"/>
      <c r="Q476" s="150"/>
      <c r="R476" s="150"/>
      <c r="S476" s="150"/>
      <c r="T476" s="186"/>
      <c r="U476" s="186"/>
      <c r="V476" s="186"/>
      <c r="W476" s="186"/>
      <c r="X476" s="186"/>
      <c r="Y476" s="186"/>
      <c r="Z476" s="186"/>
      <c r="AA476" s="186"/>
      <c r="AB476" s="186"/>
      <c r="AC476" s="186"/>
      <c r="AD476" s="186"/>
      <c r="AF476" s="150"/>
      <c r="AG476" s="150"/>
      <c r="AH476" s="150"/>
      <c r="AI476" s="150"/>
      <c r="AJ476" s="150"/>
      <c r="AK476" s="150"/>
      <c r="AL476" s="150"/>
      <c r="AM476" s="150"/>
      <c r="AN476" s="150"/>
      <c r="AO476" s="150"/>
      <c r="AP476" s="150"/>
      <c r="AQ476" s="150"/>
      <c r="AT476" s="186"/>
      <c r="AU476" s="186"/>
      <c r="AV476" s="186"/>
      <c r="AW476" s="186"/>
      <c r="AX476" s="186"/>
      <c r="AY476" s="186"/>
      <c r="AZ476" s="186"/>
      <c r="BA476" s="186"/>
      <c r="BB476" s="186"/>
      <c r="BC476" s="186"/>
      <c r="BD476" s="186"/>
      <c r="BE476" s="186"/>
      <c r="BF476" s="150"/>
      <c r="BG476" s="150"/>
    </row>
    <row r="477" spans="3:59" ht="14.6">
      <c r="C477" s="289"/>
      <c r="D477" s="150"/>
      <c r="E477" s="150"/>
      <c r="F477" s="150"/>
      <c r="G477" s="150"/>
      <c r="H477" s="150"/>
      <c r="I477" s="150"/>
      <c r="J477" s="150"/>
      <c r="K477" s="150"/>
      <c r="L477" s="150"/>
      <c r="M477" s="150"/>
      <c r="N477" s="150"/>
      <c r="O477" s="150"/>
      <c r="P477" s="150"/>
      <c r="Q477" s="150"/>
      <c r="R477" s="150"/>
      <c r="S477" s="150"/>
      <c r="T477" s="186"/>
      <c r="U477" s="186"/>
      <c r="V477" s="186"/>
      <c r="W477" s="186"/>
      <c r="X477" s="186"/>
      <c r="Y477" s="186"/>
      <c r="Z477" s="186"/>
      <c r="AA477" s="186"/>
      <c r="AB477" s="186"/>
      <c r="AC477" s="186"/>
      <c r="AD477" s="186"/>
      <c r="AF477" s="150"/>
      <c r="AG477" s="150"/>
      <c r="AH477" s="150"/>
      <c r="AI477" s="150"/>
      <c r="AJ477" s="150"/>
      <c r="AK477" s="150"/>
      <c r="AL477" s="150"/>
      <c r="AM477" s="150"/>
      <c r="AN477" s="150"/>
      <c r="AO477" s="150"/>
      <c r="AP477" s="150"/>
      <c r="AQ477" s="150"/>
      <c r="AT477" s="186"/>
      <c r="AU477" s="186"/>
      <c r="AV477" s="186"/>
      <c r="AW477" s="186"/>
      <c r="AX477" s="186"/>
      <c r="AY477" s="186"/>
      <c r="AZ477" s="186"/>
      <c r="BA477" s="186"/>
      <c r="BB477" s="186"/>
      <c r="BC477" s="186"/>
      <c r="BD477" s="186"/>
      <c r="BE477" s="186"/>
      <c r="BF477" s="150"/>
      <c r="BG477" s="150"/>
    </row>
    <row r="478" spans="3:59" ht="14.6">
      <c r="C478" s="289"/>
      <c r="D478" s="150"/>
      <c r="E478" s="150"/>
      <c r="F478" s="150"/>
      <c r="G478" s="150"/>
      <c r="H478" s="150"/>
      <c r="I478" s="150"/>
      <c r="J478" s="150"/>
      <c r="K478" s="150"/>
      <c r="L478" s="150"/>
      <c r="M478" s="150"/>
      <c r="N478" s="150"/>
      <c r="O478" s="150"/>
      <c r="P478" s="150"/>
      <c r="Q478" s="150"/>
      <c r="R478" s="150"/>
      <c r="S478" s="150"/>
      <c r="T478" s="186"/>
      <c r="U478" s="186"/>
      <c r="V478" s="186"/>
      <c r="W478" s="186"/>
      <c r="X478" s="186"/>
      <c r="Y478" s="186"/>
      <c r="Z478" s="186"/>
      <c r="AA478" s="186"/>
      <c r="AB478" s="186"/>
      <c r="AC478" s="186"/>
      <c r="AD478" s="186"/>
      <c r="AF478" s="150"/>
      <c r="AG478" s="150"/>
      <c r="AH478" s="150"/>
      <c r="AI478" s="150"/>
      <c r="AJ478" s="150"/>
      <c r="AK478" s="150"/>
      <c r="AL478" s="150"/>
      <c r="AM478" s="150"/>
      <c r="AN478" s="150"/>
      <c r="AO478" s="150"/>
      <c r="AP478" s="150"/>
      <c r="AQ478" s="150"/>
      <c r="AT478" s="186"/>
      <c r="AU478" s="186"/>
      <c r="AV478" s="186"/>
      <c r="AW478" s="186"/>
      <c r="AX478" s="186"/>
      <c r="AY478" s="186"/>
      <c r="AZ478" s="186"/>
      <c r="BA478" s="186"/>
      <c r="BB478" s="186"/>
      <c r="BC478" s="186"/>
      <c r="BD478" s="186"/>
      <c r="BE478" s="186"/>
      <c r="BF478" s="150"/>
      <c r="BG478" s="150"/>
    </row>
    <row r="479" spans="3:59" ht="14.6">
      <c r="C479" s="289"/>
      <c r="D479" s="150"/>
      <c r="E479" s="150"/>
      <c r="F479" s="150"/>
      <c r="G479" s="150"/>
      <c r="H479" s="150"/>
      <c r="I479" s="150"/>
      <c r="J479" s="150"/>
      <c r="K479" s="150"/>
      <c r="L479" s="150"/>
      <c r="M479" s="150"/>
      <c r="N479" s="150"/>
      <c r="O479" s="150"/>
      <c r="P479" s="150"/>
      <c r="Q479" s="150"/>
      <c r="R479" s="150"/>
      <c r="S479" s="150"/>
      <c r="T479" s="186"/>
      <c r="U479" s="186"/>
      <c r="V479" s="186"/>
      <c r="W479" s="186"/>
      <c r="X479" s="186"/>
      <c r="Y479" s="186"/>
      <c r="Z479" s="186"/>
      <c r="AA479" s="186"/>
      <c r="AB479" s="186"/>
      <c r="AC479" s="186"/>
      <c r="AD479" s="186"/>
      <c r="AF479" s="150"/>
      <c r="AG479" s="150"/>
      <c r="AH479" s="150"/>
      <c r="AI479" s="150"/>
      <c r="AJ479" s="150"/>
      <c r="AK479" s="150"/>
      <c r="AL479" s="150"/>
      <c r="AM479" s="150"/>
      <c r="AN479" s="150"/>
      <c r="AO479" s="150"/>
      <c r="AP479" s="150"/>
      <c r="AQ479" s="150"/>
      <c r="AT479" s="186"/>
      <c r="AU479" s="186"/>
      <c r="AV479" s="186"/>
      <c r="AW479" s="186"/>
      <c r="AX479" s="186"/>
      <c r="AY479" s="186"/>
      <c r="AZ479" s="186"/>
      <c r="BA479" s="186"/>
      <c r="BB479" s="186"/>
      <c r="BC479" s="186"/>
      <c r="BD479" s="186"/>
      <c r="BE479" s="186"/>
      <c r="BF479" s="150"/>
      <c r="BG479" s="150"/>
    </row>
    <row r="480" spans="3:59" ht="14.6">
      <c r="C480" s="289"/>
      <c r="D480" s="150"/>
      <c r="E480" s="150"/>
      <c r="F480" s="150"/>
      <c r="G480" s="150"/>
      <c r="H480" s="150"/>
      <c r="I480" s="150"/>
      <c r="J480" s="150"/>
      <c r="K480" s="150"/>
      <c r="L480" s="150"/>
      <c r="M480" s="150"/>
      <c r="N480" s="150"/>
      <c r="O480" s="150"/>
      <c r="P480" s="150"/>
      <c r="Q480" s="150"/>
      <c r="R480" s="150"/>
      <c r="S480" s="150"/>
      <c r="T480" s="186"/>
      <c r="U480" s="186"/>
      <c r="V480" s="186"/>
      <c r="W480" s="186"/>
      <c r="X480" s="186"/>
      <c r="Y480" s="186"/>
      <c r="Z480" s="186"/>
      <c r="AA480" s="186"/>
      <c r="AB480" s="186"/>
      <c r="AC480" s="186"/>
      <c r="AD480" s="186"/>
      <c r="AF480" s="150"/>
      <c r="AG480" s="150"/>
      <c r="AH480" s="150"/>
      <c r="AI480" s="150"/>
      <c r="AJ480" s="150"/>
      <c r="AK480" s="150"/>
      <c r="AL480" s="150"/>
      <c r="AM480" s="150"/>
      <c r="AN480" s="150"/>
      <c r="AO480" s="150"/>
      <c r="AP480" s="150"/>
      <c r="AQ480" s="150"/>
      <c r="AT480" s="186"/>
      <c r="AU480" s="186"/>
      <c r="AV480" s="186"/>
      <c r="AW480" s="186"/>
      <c r="AX480" s="186"/>
      <c r="AY480" s="186"/>
      <c r="AZ480" s="186"/>
      <c r="BA480" s="186"/>
      <c r="BB480" s="186"/>
      <c r="BC480" s="186"/>
      <c r="BD480" s="186"/>
      <c r="BE480" s="186"/>
      <c r="BF480" s="150"/>
      <c r="BG480" s="150"/>
    </row>
    <row r="481" spans="3:59" ht="14.6">
      <c r="C481" s="289"/>
      <c r="D481" s="150"/>
      <c r="E481" s="150"/>
      <c r="F481" s="150"/>
      <c r="G481" s="150"/>
      <c r="H481" s="150"/>
      <c r="I481" s="150"/>
      <c r="J481" s="150"/>
      <c r="K481" s="150"/>
      <c r="L481" s="150"/>
      <c r="M481" s="150"/>
      <c r="N481" s="150"/>
      <c r="O481" s="150"/>
      <c r="P481" s="150"/>
      <c r="Q481" s="150"/>
      <c r="R481" s="150"/>
      <c r="S481" s="150"/>
      <c r="T481" s="186"/>
      <c r="U481" s="186"/>
      <c r="V481" s="186"/>
      <c r="W481" s="186"/>
      <c r="X481" s="186"/>
      <c r="Y481" s="186"/>
      <c r="Z481" s="186"/>
      <c r="AA481" s="186"/>
      <c r="AB481" s="186"/>
      <c r="AC481" s="186"/>
      <c r="AD481" s="186"/>
      <c r="AF481" s="150"/>
      <c r="AG481" s="150"/>
      <c r="AH481" s="150"/>
      <c r="AI481" s="150"/>
      <c r="AJ481" s="150"/>
      <c r="AK481" s="150"/>
      <c r="AL481" s="150"/>
      <c r="AM481" s="150"/>
      <c r="AN481" s="150"/>
      <c r="AO481" s="150"/>
      <c r="AP481" s="150"/>
      <c r="AQ481" s="150"/>
      <c r="AT481" s="186"/>
      <c r="AU481" s="186"/>
      <c r="AV481" s="186"/>
      <c r="AW481" s="186"/>
      <c r="AX481" s="186"/>
      <c r="AY481" s="186"/>
      <c r="AZ481" s="186"/>
      <c r="BA481" s="186"/>
      <c r="BB481" s="186"/>
      <c r="BC481" s="186"/>
      <c r="BD481" s="186"/>
      <c r="BE481" s="186"/>
      <c r="BF481" s="150"/>
      <c r="BG481" s="150"/>
    </row>
    <row r="482" spans="3:59" ht="14.6">
      <c r="C482" s="289"/>
      <c r="D482" s="150"/>
      <c r="E482" s="150"/>
      <c r="F482" s="150"/>
      <c r="G482" s="150"/>
      <c r="H482" s="150"/>
      <c r="I482" s="150"/>
      <c r="J482" s="150"/>
      <c r="K482" s="150"/>
      <c r="L482" s="150"/>
      <c r="M482" s="150"/>
      <c r="N482" s="150"/>
      <c r="O482" s="150"/>
      <c r="P482" s="150"/>
      <c r="Q482" s="150"/>
      <c r="R482" s="150"/>
      <c r="S482" s="150"/>
      <c r="T482" s="186"/>
      <c r="U482" s="186"/>
      <c r="V482" s="186"/>
      <c r="W482" s="186"/>
      <c r="X482" s="186"/>
      <c r="Y482" s="186"/>
      <c r="Z482" s="186"/>
      <c r="AA482" s="186"/>
      <c r="AB482" s="186"/>
      <c r="AC482" s="186"/>
      <c r="AD482" s="186"/>
      <c r="AF482" s="150"/>
      <c r="AG482" s="150"/>
      <c r="AH482" s="150"/>
      <c r="AI482" s="150"/>
      <c r="AJ482" s="150"/>
      <c r="AK482" s="150"/>
      <c r="AL482" s="150"/>
      <c r="AM482" s="150"/>
      <c r="AN482" s="150"/>
      <c r="AO482" s="150"/>
      <c r="AP482" s="150"/>
      <c r="AQ482" s="150"/>
      <c r="AT482" s="186"/>
      <c r="AU482" s="186"/>
      <c r="AV482" s="186"/>
      <c r="AW482" s="186"/>
      <c r="AX482" s="186"/>
      <c r="AY482" s="186"/>
      <c r="AZ482" s="186"/>
      <c r="BA482" s="186"/>
      <c r="BB482" s="186"/>
      <c r="BC482" s="186"/>
      <c r="BD482" s="186"/>
      <c r="BE482" s="186"/>
      <c r="BF482" s="150"/>
      <c r="BG482" s="150"/>
    </row>
    <row r="483" spans="3:59" ht="14.6">
      <c r="C483" s="289"/>
      <c r="D483" s="150"/>
      <c r="E483" s="150"/>
      <c r="F483" s="150"/>
      <c r="G483" s="150"/>
      <c r="H483" s="150"/>
      <c r="I483" s="150"/>
      <c r="J483" s="150"/>
      <c r="K483" s="150"/>
      <c r="L483" s="150"/>
      <c r="M483" s="150"/>
      <c r="N483" s="150"/>
      <c r="O483" s="150"/>
      <c r="P483" s="150"/>
      <c r="Q483" s="150"/>
      <c r="R483" s="150"/>
      <c r="S483" s="150"/>
      <c r="T483" s="186"/>
      <c r="U483" s="186"/>
      <c r="V483" s="186"/>
      <c r="W483" s="186"/>
      <c r="X483" s="186"/>
      <c r="Y483" s="186"/>
      <c r="Z483" s="186"/>
      <c r="AA483" s="186"/>
      <c r="AB483" s="186"/>
      <c r="AC483" s="186"/>
      <c r="AD483" s="186"/>
      <c r="AF483" s="150"/>
      <c r="AG483" s="150"/>
      <c r="AH483" s="150"/>
      <c r="AI483" s="150"/>
      <c r="AJ483" s="150"/>
      <c r="AK483" s="150"/>
      <c r="AL483" s="150"/>
      <c r="AM483" s="150"/>
      <c r="AN483" s="150"/>
      <c r="AO483" s="150"/>
      <c r="AP483" s="150"/>
      <c r="AQ483" s="150"/>
      <c r="AT483" s="186"/>
      <c r="AU483" s="186"/>
      <c r="AV483" s="186"/>
      <c r="AW483" s="186"/>
      <c r="AX483" s="186"/>
      <c r="AY483" s="186"/>
      <c r="AZ483" s="186"/>
      <c r="BA483" s="186"/>
      <c r="BB483" s="186"/>
      <c r="BC483" s="186"/>
      <c r="BD483" s="186"/>
      <c r="BE483" s="186"/>
      <c r="BF483" s="150"/>
      <c r="BG483" s="150"/>
    </row>
    <row r="484" spans="3:59" ht="14.6">
      <c r="C484" s="289"/>
      <c r="D484" s="150"/>
      <c r="E484" s="150"/>
      <c r="F484" s="150"/>
      <c r="G484" s="150"/>
      <c r="H484" s="150"/>
      <c r="I484" s="150"/>
      <c r="J484" s="150"/>
      <c r="K484" s="150"/>
      <c r="L484" s="150"/>
      <c r="M484" s="150"/>
      <c r="N484" s="150"/>
      <c r="O484" s="150"/>
      <c r="P484" s="150"/>
      <c r="Q484" s="150"/>
      <c r="R484" s="150"/>
      <c r="S484" s="150"/>
      <c r="T484" s="186"/>
      <c r="U484" s="186"/>
      <c r="V484" s="186"/>
      <c r="W484" s="186"/>
      <c r="X484" s="186"/>
      <c r="Y484" s="186"/>
      <c r="Z484" s="186"/>
      <c r="AA484" s="186"/>
      <c r="AB484" s="186"/>
      <c r="AC484" s="186"/>
      <c r="AD484" s="186"/>
      <c r="AF484" s="150"/>
      <c r="AG484" s="150"/>
      <c r="AH484" s="150"/>
      <c r="AI484" s="150"/>
      <c r="AJ484" s="150"/>
      <c r="AK484" s="150"/>
      <c r="AL484" s="150"/>
      <c r="AM484" s="150"/>
      <c r="AN484" s="150"/>
      <c r="AO484" s="150"/>
      <c r="AP484" s="150"/>
      <c r="AQ484" s="150"/>
      <c r="AT484" s="186"/>
      <c r="AU484" s="186"/>
      <c r="AV484" s="186"/>
      <c r="AW484" s="186"/>
      <c r="AX484" s="186"/>
      <c r="AY484" s="186"/>
      <c r="AZ484" s="186"/>
      <c r="BA484" s="186"/>
      <c r="BB484" s="186"/>
      <c r="BC484" s="186"/>
      <c r="BD484" s="186"/>
      <c r="BE484" s="186"/>
      <c r="BF484" s="150"/>
      <c r="BG484" s="150"/>
    </row>
    <row r="485" spans="3:59" ht="14.6">
      <c r="C485" s="289"/>
      <c r="D485" s="150"/>
      <c r="E485" s="150"/>
      <c r="F485" s="150"/>
      <c r="G485" s="150"/>
      <c r="H485" s="150"/>
      <c r="I485" s="150"/>
      <c r="J485" s="150"/>
      <c r="K485" s="150"/>
      <c r="L485" s="150"/>
      <c r="M485" s="150"/>
      <c r="N485" s="150"/>
      <c r="O485" s="150"/>
      <c r="P485" s="150"/>
      <c r="Q485" s="150"/>
      <c r="R485" s="150"/>
      <c r="S485" s="150"/>
      <c r="T485" s="186"/>
      <c r="U485" s="186"/>
      <c r="V485" s="186"/>
      <c r="W485" s="186"/>
      <c r="X485" s="186"/>
      <c r="Y485" s="186"/>
      <c r="Z485" s="186"/>
      <c r="AA485" s="186"/>
      <c r="AB485" s="186"/>
      <c r="AC485" s="186"/>
      <c r="AD485" s="186"/>
      <c r="AF485" s="150"/>
      <c r="AG485" s="150"/>
      <c r="AH485" s="150"/>
      <c r="AI485" s="150"/>
      <c r="AJ485" s="150"/>
      <c r="AK485" s="150"/>
      <c r="AL485" s="150"/>
      <c r="AM485" s="150"/>
      <c r="AN485" s="150"/>
      <c r="AO485" s="150"/>
      <c r="AP485" s="150"/>
      <c r="AQ485" s="150"/>
      <c r="AT485" s="186"/>
      <c r="AU485" s="186"/>
      <c r="AV485" s="186"/>
      <c r="AW485" s="186"/>
      <c r="AX485" s="186"/>
      <c r="AY485" s="186"/>
      <c r="AZ485" s="186"/>
      <c r="BA485" s="186"/>
      <c r="BB485" s="186"/>
      <c r="BC485" s="186"/>
      <c r="BD485" s="186"/>
      <c r="BE485" s="186"/>
      <c r="BF485" s="150"/>
      <c r="BG485" s="150"/>
    </row>
    <row r="486" spans="3:59" ht="14.6">
      <c r="C486" s="289"/>
      <c r="D486" s="150"/>
      <c r="E486" s="150"/>
      <c r="F486" s="150"/>
      <c r="G486" s="150"/>
      <c r="H486" s="150"/>
      <c r="I486" s="150"/>
      <c r="J486" s="150"/>
      <c r="K486" s="150"/>
      <c r="L486" s="150"/>
      <c r="M486" s="150"/>
      <c r="N486" s="150"/>
      <c r="O486" s="150"/>
      <c r="P486" s="150"/>
      <c r="Q486" s="150"/>
      <c r="R486" s="150"/>
      <c r="S486" s="150"/>
      <c r="T486" s="186"/>
      <c r="U486" s="186"/>
      <c r="V486" s="186"/>
      <c r="W486" s="186"/>
      <c r="X486" s="186"/>
      <c r="Y486" s="186"/>
      <c r="Z486" s="186"/>
      <c r="AA486" s="186"/>
      <c r="AB486" s="186"/>
      <c r="AC486" s="186"/>
      <c r="AD486" s="186"/>
      <c r="AF486" s="150"/>
      <c r="AG486" s="150"/>
      <c r="AH486" s="150"/>
      <c r="AI486" s="150"/>
      <c r="AJ486" s="150"/>
      <c r="AK486" s="150"/>
      <c r="AL486" s="150"/>
      <c r="AM486" s="150"/>
      <c r="AN486" s="150"/>
      <c r="AO486" s="150"/>
      <c r="AP486" s="150"/>
      <c r="AQ486" s="150"/>
      <c r="AT486" s="186"/>
      <c r="AU486" s="186"/>
      <c r="AV486" s="186"/>
      <c r="AW486" s="186"/>
      <c r="AX486" s="186"/>
      <c r="AY486" s="186"/>
      <c r="AZ486" s="186"/>
      <c r="BA486" s="186"/>
      <c r="BB486" s="186"/>
      <c r="BC486" s="186"/>
      <c r="BD486" s="186"/>
      <c r="BE486" s="186"/>
      <c r="BF486" s="150"/>
      <c r="BG486" s="150"/>
    </row>
    <row r="487" spans="3:59" ht="14.6">
      <c r="C487" s="289"/>
      <c r="D487" s="150"/>
      <c r="E487" s="150"/>
      <c r="F487" s="150"/>
      <c r="G487" s="150"/>
      <c r="H487" s="150"/>
      <c r="I487" s="150"/>
      <c r="J487" s="150"/>
      <c r="K487" s="150"/>
      <c r="L487" s="150"/>
      <c r="M487" s="150"/>
      <c r="N487" s="150"/>
      <c r="O487" s="150"/>
      <c r="P487" s="150"/>
      <c r="Q487" s="150"/>
      <c r="R487" s="150"/>
      <c r="S487" s="150"/>
      <c r="T487" s="186"/>
      <c r="U487" s="186"/>
      <c r="V487" s="186"/>
      <c r="W487" s="186"/>
      <c r="X487" s="186"/>
      <c r="Y487" s="186"/>
      <c r="Z487" s="186"/>
      <c r="AA487" s="186"/>
      <c r="AB487" s="186"/>
      <c r="AC487" s="186"/>
      <c r="AD487" s="186"/>
      <c r="AF487" s="150"/>
      <c r="AG487" s="150"/>
      <c r="AH487" s="150"/>
      <c r="AI487" s="150"/>
      <c r="AJ487" s="150"/>
      <c r="AK487" s="150"/>
      <c r="AL487" s="150"/>
      <c r="AM487" s="150"/>
      <c r="AN487" s="150"/>
      <c r="AO487" s="150"/>
      <c r="AP487" s="150"/>
      <c r="AQ487" s="150"/>
      <c r="AT487" s="186"/>
      <c r="AU487" s="186"/>
      <c r="AV487" s="186"/>
      <c r="AW487" s="186"/>
      <c r="AX487" s="186"/>
      <c r="AY487" s="186"/>
      <c r="AZ487" s="186"/>
      <c r="BA487" s="186"/>
      <c r="BB487" s="186"/>
      <c r="BC487" s="186"/>
      <c r="BD487" s="186"/>
      <c r="BE487" s="186"/>
      <c r="BF487" s="150"/>
      <c r="BG487" s="150"/>
    </row>
    <row r="488" spans="3:59" ht="14.6">
      <c r="C488" s="289"/>
      <c r="D488" s="150"/>
      <c r="E488" s="150"/>
      <c r="F488" s="150"/>
      <c r="G488" s="150"/>
      <c r="H488" s="150"/>
      <c r="I488" s="150"/>
      <c r="J488" s="150"/>
      <c r="K488" s="150"/>
      <c r="L488" s="150"/>
      <c r="M488" s="150"/>
      <c r="N488" s="150"/>
      <c r="O488" s="150"/>
      <c r="P488" s="150"/>
      <c r="Q488" s="150"/>
      <c r="R488" s="150"/>
      <c r="S488" s="150"/>
      <c r="T488" s="186"/>
      <c r="U488" s="186"/>
      <c r="V488" s="186"/>
      <c r="W488" s="186"/>
      <c r="X488" s="186"/>
      <c r="Y488" s="186"/>
      <c r="Z488" s="186"/>
      <c r="AA488" s="186"/>
      <c r="AB488" s="186"/>
      <c r="AC488" s="186"/>
      <c r="AD488" s="186"/>
      <c r="AF488" s="150"/>
      <c r="AG488" s="150"/>
      <c r="AH488" s="150"/>
      <c r="AI488" s="150"/>
      <c r="AJ488" s="150"/>
      <c r="AK488" s="150"/>
      <c r="AL488" s="150"/>
      <c r="AM488" s="150"/>
      <c r="AN488" s="150"/>
      <c r="AO488" s="150"/>
      <c r="AP488" s="150"/>
      <c r="AQ488" s="150"/>
      <c r="AT488" s="186"/>
      <c r="AU488" s="186"/>
      <c r="AV488" s="186"/>
      <c r="AW488" s="186"/>
      <c r="AX488" s="186"/>
      <c r="AY488" s="186"/>
      <c r="AZ488" s="186"/>
      <c r="BA488" s="186"/>
      <c r="BB488" s="186"/>
      <c r="BC488" s="186"/>
      <c r="BD488" s="186"/>
      <c r="BE488" s="186"/>
      <c r="BF488" s="150"/>
      <c r="BG488" s="150"/>
    </row>
    <row r="489" spans="3:59" ht="14.6">
      <c r="C489" s="289"/>
      <c r="D489" s="150"/>
      <c r="E489" s="150"/>
      <c r="F489" s="150"/>
      <c r="G489" s="150"/>
      <c r="H489" s="150"/>
      <c r="I489" s="150"/>
      <c r="J489" s="150"/>
      <c r="K489" s="150"/>
      <c r="L489" s="150"/>
      <c r="M489" s="150"/>
      <c r="N489" s="150"/>
      <c r="O489" s="150"/>
      <c r="P489" s="150"/>
      <c r="Q489" s="150"/>
      <c r="R489" s="150"/>
      <c r="S489" s="150"/>
      <c r="T489" s="186"/>
      <c r="U489" s="186"/>
      <c r="V489" s="186"/>
      <c r="W489" s="186"/>
      <c r="X489" s="186"/>
      <c r="Y489" s="186"/>
      <c r="Z489" s="186"/>
      <c r="AA489" s="186"/>
      <c r="AB489" s="186"/>
      <c r="AC489" s="186"/>
      <c r="AD489" s="186"/>
      <c r="AF489" s="150"/>
      <c r="AG489" s="150"/>
      <c r="AH489" s="150"/>
      <c r="AI489" s="150"/>
      <c r="AJ489" s="150"/>
      <c r="AK489" s="150"/>
      <c r="AL489" s="150"/>
      <c r="AM489" s="150"/>
      <c r="AN489" s="150"/>
      <c r="AO489" s="150"/>
      <c r="AP489" s="150"/>
      <c r="AQ489" s="150"/>
      <c r="AT489" s="186"/>
      <c r="AU489" s="186"/>
      <c r="AV489" s="186"/>
      <c r="AW489" s="186"/>
      <c r="AX489" s="186"/>
      <c r="AY489" s="186"/>
      <c r="AZ489" s="186"/>
      <c r="BA489" s="186"/>
      <c r="BB489" s="186"/>
      <c r="BC489" s="186"/>
      <c r="BD489" s="186"/>
      <c r="BE489" s="186"/>
      <c r="BF489" s="150"/>
      <c r="BG489" s="150"/>
    </row>
    <row r="490" spans="3:59" ht="14.6">
      <c r="C490" s="289"/>
      <c r="D490" s="150"/>
      <c r="E490" s="150"/>
      <c r="F490" s="150"/>
      <c r="G490" s="150"/>
      <c r="H490" s="150"/>
      <c r="I490" s="150"/>
      <c r="J490" s="150"/>
      <c r="K490" s="150"/>
      <c r="L490" s="150"/>
      <c r="M490" s="150"/>
      <c r="N490" s="150"/>
      <c r="O490" s="150"/>
      <c r="P490" s="150"/>
      <c r="Q490" s="150"/>
      <c r="R490" s="150"/>
      <c r="S490" s="150"/>
      <c r="T490" s="186"/>
      <c r="U490" s="186"/>
      <c r="V490" s="186"/>
      <c r="W490" s="186"/>
      <c r="X490" s="186"/>
      <c r="Y490" s="186"/>
      <c r="Z490" s="186"/>
      <c r="AA490" s="186"/>
      <c r="AB490" s="186"/>
      <c r="AC490" s="186"/>
      <c r="AD490" s="186"/>
      <c r="AF490" s="150"/>
      <c r="AG490" s="150"/>
      <c r="AH490" s="150"/>
      <c r="AI490" s="150"/>
      <c r="AJ490" s="150"/>
      <c r="AK490" s="150"/>
      <c r="AL490" s="150"/>
      <c r="AM490" s="150"/>
      <c r="AN490" s="150"/>
      <c r="AO490" s="150"/>
      <c r="AP490" s="150"/>
      <c r="AQ490" s="150"/>
      <c r="AT490" s="186"/>
      <c r="AU490" s="186"/>
      <c r="AV490" s="186"/>
      <c r="AW490" s="186"/>
      <c r="AX490" s="186"/>
      <c r="AY490" s="186"/>
      <c r="AZ490" s="186"/>
      <c r="BA490" s="186"/>
      <c r="BB490" s="186"/>
      <c r="BC490" s="186"/>
      <c r="BD490" s="186"/>
      <c r="BE490" s="186"/>
      <c r="BF490" s="150"/>
      <c r="BG490" s="150"/>
    </row>
    <row r="491" spans="3:59" ht="14.6">
      <c r="C491" s="289"/>
      <c r="D491" s="150"/>
      <c r="E491" s="150"/>
      <c r="F491" s="150"/>
      <c r="G491" s="150"/>
      <c r="H491" s="150"/>
      <c r="I491" s="150"/>
      <c r="J491" s="150"/>
      <c r="K491" s="150"/>
      <c r="L491" s="150"/>
      <c r="M491" s="150"/>
      <c r="N491" s="150"/>
      <c r="O491" s="150"/>
      <c r="P491" s="150"/>
      <c r="Q491" s="150"/>
      <c r="R491" s="150"/>
      <c r="S491" s="150"/>
      <c r="T491" s="186"/>
      <c r="U491" s="186"/>
      <c r="V491" s="186"/>
      <c r="W491" s="186"/>
      <c r="X491" s="186"/>
      <c r="Y491" s="186"/>
      <c r="Z491" s="186"/>
      <c r="AA491" s="186"/>
      <c r="AB491" s="186"/>
      <c r="AC491" s="186"/>
      <c r="AD491" s="186"/>
      <c r="AF491" s="150"/>
      <c r="AG491" s="150"/>
      <c r="AH491" s="150"/>
      <c r="AI491" s="150"/>
      <c r="AJ491" s="150"/>
      <c r="AK491" s="150"/>
      <c r="AL491" s="150"/>
      <c r="AM491" s="150"/>
      <c r="AN491" s="150"/>
      <c r="AO491" s="150"/>
      <c r="AP491" s="150"/>
      <c r="AQ491" s="150"/>
      <c r="AT491" s="186"/>
      <c r="AU491" s="186"/>
      <c r="AV491" s="186"/>
      <c r="AW491" s="186"/>
      <c r="AX491" s="186"/>
      <c r="AY491" s="186"/>
      <c r="AZ491" s="186"/>
      <c r="BA491" s="186"/>
      <c r="BB491" s="186"/>
      <c r="BC491" s="186"/>
      <c r="BD491" s="186"/>
      <c r="BE491" s="186"/>
      <c r="BF491" s="150"/>
      <c r="BG491" s="150"/>
    </row>
    <row r="492" spans="3:59" ht="14.6">
      <c r="C492" s="289"/>
      <c r="D492" s="150"/>
      <c r="E492" s="150"/>
      <c r="F492" s="150"/>
      <c r="G492" s="150"/>
      <c r="H492" s="150"/>
      <c r="I492" s="150"/>
      <c r="J492" s="150"/>
      <c r="K492" s="150"/>
      <c r="L492" s="150"/>
      <c r="M492" s="150"/>
      <c r="N492" s="150"/>
      <c r="O492" s="150"/>
      <c r="P492" s="150"/>
      <c r="Q492" s="150"/>
      <c r="R492" s="150"/>
      <c r="S492" s="150"/>
      <c r="T492" s="186"/>
      <c r="U492" s="186"/>
      <c r="V492" s="186"/>
      <c r="W492" s="186"/>
      <c r="X492" s="186"/>
      <c r="Y492" s="186"/>
      <c r="Z492" s="186"/>
      <c r="AA492" s="186"/>
      <c r="AB492" s="186"/>
      <c r="AC492" s="186"/>
      <c r="AD492" s="186"/>
      <c r="AF492" s="150"/>
      <c r="AG492" s="150"/>
      <c r="AH492" s="150"/>
      <c r="AI492" s="150"/>
      <c r="AJ492" s="150"/>
      <c r="AK492" s="150"/>
      <c r="AL492" s="150"/>
      <c r="AM492" s="150"/>
      <c r="AN492" s="150"/>
      <c r="AO492" s="150"/>
      <c r="AP492" s="150"/>
      <c r="AQ492" s="150"/>
      <c r="AT492" s="186"/>
      <c r="AU492" s="186"/>
      <c r="AV492" s="186"/>
      <c r="AW492" s="186"/>
      <c r="AX492" s="186"/>
      <c r="AY492" s="186"/>
      <c r="AZ492" s="186"/>
      <c r="BA492" s="186"/>
      <c r="BB492" s="186"/>
      <c r="BC492" s="186"/>
      <c r="BD492" s="186"/>
      <c r="BE492" s="186"/>
      <c r="BF492" s="150"/>
      <c r="BG492" s="150"/>
    </row>
    <row r="493" spans="3:59" ht="14.6">
      <c r="C493" s="289"/>
      <c r="D493" s="150"/>
      <c r="E493" s="150"/>
      <c r="F493" s="150"/>
      <c r="G493" s="150"/>
      <c r="H493" s="150"/>
      <c r="I493" s="150"/>
      <c r="J493" s="150"/>
      <c r="K493" s="150"/>
      <c r="L493" s="150"/>
      <c r="M493" s="150"/>
      <c r="N493" s="150"/>
      <c r="O493" s="150"/>
      <c r="P493" s="150"/>
      <c r="Q493" s="150"/>
      <c r="R493" s="150"/>
      <c r="S493" s="150"/>
      <c r="T493" s="186"/>
      <c r="U493" s="186"/>
      <c r="V493" s="186"/>
      <c r="W493" s="186"/>
      <c r="X493" s="186"/>
      <c r="Y493" s="186"/>
      <c r="Z493" s="186"/>
      <c r="AA493" s="186"/>
      <c r="AB493" s="186"/>
      <c r="AC493" s="186"/>
      <c r="AD493" s="186"/>
      <c r="AF493" s="150"/>
      <c r="AG493" s="150"/>
      <c r="AH493" s="150"/>
      <c r="AI493" s="150"/>
      <c r="AJ493" s="150"/>
      <c r="AK493" s="150"/>
      <c r="AL493" s="150"/>
      <c r="AM493" s="150"/>
      <c r="AN493" s="150"/>
      <c r="AO493" s="150"/>
      <c r="AP493" s="150"/>
      <c r="AQ493" s="150"/>
      <c r="AT493" s="186"/>
      <c r="AU493" s="186"/>
      <c r="AV493" s="186"/>
      <c r="AW493" s="186"/>
      <c r="AX493" s="186"/>
      <c r="AY493" s="186"/>
      <c r="AZ493" s="186"/>
      <c r="BA493" s="186"/>
      <c r="BB493" s="186"/>
      <c r="BC493" s="186"/>
      <c r="BD493" s="186"/>
      <c r="BE493" s="186"/>
      <c r="BF493" s="150"/>
      <c r="BG493" s="150"/>
    </row>
    <row r="494" spans="3:59" ht="14.6">
      <c r="C494" s="289"/>
      <c r="D494" s="150"/>
      <c r="E494" s="150"/>
      <c r="F494" s="150"/>
      <c r="G494" s="150"/>
      <c r="H494" s="150"/>
      <c r="I494" s="150"/>
      <c r="J494" s="150"/>
      <c r="K494" s="150"/>
      <c r="L494" s="150"/>
      <c r="M494" s="150"/>
      <c r="N494" s="150"/>
      <c r="O494" s="150"/>
      <c r="P494" s="150"/>
      <c r="Q494" s="150"/>
      <c r="R494" s="150"/>
      <c r="S494" s="150"/>
      <c r="T494" s="186"/>
      <c r="U494" s="186"/>
      <c r="V494" s="186"/>
      <c r="W494" s="186"/>
      <c r="X494" s="186"/>
      <c r="Y494" s="186"/>
      <c r="Z494" s="186"/>
      <c r="AA494" s="186"/>
      <c r="AB494" s="186"/>
      <c r="AC494" s="186"/>
      <c r="AD494" s="186"/>
      <c r="AF494" s="150"/>
      <c r="AG494" s="150"/>
      <c r="AH494" s="150"/>
      <c r="AI494" s="150"/>
      <c r="AJ494" s="150"/>
      <c r="AK494" s="150"/>
      <c r="AL494" s="150"/>
      <c r="AM494" s="150"/>
      <c r="AN494" s="150"/>
      <c r="AO494" s="150"/>
      <c r="AP494" s="150"/>
      <c r="AQ494" s="150"/>
      <c r="AT494" s="186"/>
      <c r="AU494" s="186"/>
      <c r="AV494" s="186"/>
      <c r="AW494" s="186"/>
      <c r="AX494" s="186"/>
      <c r="AY494" s="186"/>
      <c r="AZ494" s="186"/>
      <c r="BA494" s="186"/>
      <c r="BB494" s="186"/>
      <c r="BC494" s="186"/>
      <c r="BD494" s="186"/>
      <c r="BE494" s="186"/>
      <c r="BF494" s="150"/>
      <c r="BG494" s="150"/>
    </row>
    <row r="495" spans="3:59" ht="14.6">
      <c r="C495" s="289"/>
      <c r="D495" s="150"/>
      <c r="E495" s="150"/>
      <c r="F495" s="150"/>
      <c r="G495" s="150"/>
      <c r="H495" s="150"/>
      <c r="I495" s="150"/>
      <c r="J495" s="150"/>
      <c r="K495" s="150"/>
      <c r="L495" s="150"/>
      <c r="M495" s="150"/>
      <c r="N495" s="150"/>
      <c r="O495" s="150"/>
      <c r="P495" s="150"/>
      <c r="Q495" s="150"/>
      <c r="R495" s="150"/>
      <c r="S495" s="150"/>
      <c r="T495" s="186"/>
      <c r="U495" s="186"/>
      <c r="V495" s="186"/>
      <c r="W495" s="186"/>
      <c r="X495" s="186"/>
      <c r="Y495" s="186"/>
      <c r="Z495" s="186"/>
      <c r="AA495" s="186"/>
      <c r="AB495" s="186"/>
      <c r="AC495" s="186"/>
      <c r="AD495" s="186"/>
      <c r="AF495" s="150"/>
      <c r="AG495" s="150"/>
      <c r="AH495" s="150"/>
      <c r="AI495" s="150"/>
      <c r="AJ495" s="150"/>
      <c r="AK495" s="150"/>
      <c r="AL495" s="150"/>
      <c r="AM495" s="150"/>
      <c r="AN495" s="150"/>
      <c r="AO495" s="150"/>
      <c r="AP495" s="150"/>
      <c r="AQ495" s="150"/>
      <c r="AT495" s="186"/>
      <c r="AU495" s="186"/>
      <c r="AV495" s="186"/>
      <c r="AW495" s="186"/>
      <c r="AX495" s="186"/>
      <c r="AY495" s="186"/>
      <c r="AZ495" s="186"/>
      <c r="BA495" s="186"/>
      <c r="BB495" s="186"/>
      <c r="BC495" s="186"/>
      <c r="BD495" s="186"/>
      <c r="BE495" s="186"/>
      <c r="BF495" s="150"/>
      <c r="BG495" s="150"/>
    </row>
    <row r="496" spans="3:59" ht="14.6">
      <c r="C496" s="289"/>
      <c r="D496" s="150"/>
      <c r="E496" s="150"/>
      <c r="F496" s="150"/>
      <c r="G496" s="150"/>
      <c r="H496" s="150"/>
      <c r="I496" s="150"/>
      <c r="J496" s="150"/>
      <c r="K496" s="150"/>
      <c r="L496" s="150"/>
      <c r="M496" s="150"/>
      <c r="N496" s="150"/>
      <c r="O496" s="150"/>
      <c r="P496" s="150"/>
      <c r="Q496" s="150"/>
      <c r="R496" s="150"/>
      <c r="S496" s="150"/>
      <c r="T496" s="186"/>
      <c r="U496" s="186"/>
      <c r="V496" s="186"/>
      <c r="W496" s="186"/>
      <c r="X496" s="186"/>
      <c r="Y496" s="186"/>
      <c r="Z496" s="186"/>
      <c r="AA496" s="186"/>
      <c r="AB496" s="186"/>
      <c r="AC496" s="186"/>
      <c r="AD496" s="186"/>
      <c r="AF496" s="150"/>
      <c r="AG496" s="150"/>
      <c r="AH496" s="150"/>
      <c r="AI496" s="150"/>
      <c r="AJ496" s="150"/>
      <c r="AK496" s="150"/>
      <c r="AL496" s="150"/>
      <c r="AM496" s="150"/>
      <c r="AN496" s="150"/>
      <c r="AO496" s="150"/>
      <c r="AP496" s="150"/>
      <c r="AQ496" s="150"/>
      <c r="AT496" s="186"/>
      <c r="AU496" s="186"/>
      <c r="AV496" s="186"/>
      <c r="AW496" s="186"/>
      <c r="AX496" s="186"/>
      <c r="AY496" s="186"/>
      <c r="AZ496" s="186"/>
      <c r="BA496" s="186"/>
      <c r="BB496" s="186"/>
      <c r="BC496" s="186"/>
      <c r="BD496" s="186"/>
      <c r="BE496" s="186"/>
      <c r="BF496" s="150"/>
      <c r="BG496" s="150"/>
    </row>
    <row r="497" spans="3:59" ht="14.6">
      <c r="C497" s="289"/>
      <c r="D497" s="150"/>
      <c r="E497" s="150"/>
      <c r="F497" s="150"/>
      <c r="G497" s="150"/>
      <c r="H497" s="150"/>
      <c r="I497" s="150"/>
      <c r="J497" s="150"/>
      <c r="K497" s="150"/>
      <c r="L497" s="150"/>
      <c r="M497" s="150"/>
      <c r="N497" s="150"/>
      <c r="O497" s="150"/>
      <c r="P497" s="150"/>
      <c r="Q497" s="150"/>
      <c r="R497" s="150"/>
      <c r="S497" s="150"/>
      <c r="T497" s="186"/>
      <c r="U497" s="186"/>
      <c r="V497" s="186"/>
      <c r="W497" s="186"/>
      <c r="X497" s="186"/>
      <c r="Y497" s="186"/>
      <c r="Z497" s="186"/>
      <c r="AA497" s="186"/>
      <c r="AB497" s="186"/>
      <c r="AC497" s="186"/>
      <c r="AD497" s="186"/>
      <c r="AF497" s="150"/>
      <c r="AG497" s="150"/>
      <c r="AH497" s="150"/>
      <c r="AI497" s="150"/>
      <c r="AJ497" s="150"/>
      <c r="AK497" s="150"/>
      <c r="AL497" s="150"/>
      <c r="AM497" s="150"/>
      <c r="AN497" s="150"/>
      <c r="AO497" s="150"/>
      <c r="AP497" s="150"/>
      <c r="AQ497" s="150"/>
      <c r="AT497" s="186"/>
      <c r="AU497" s="186"/>
      <c r="AV497" s="186"/>
      <c r="AW497" s="186"/>
      <c r="AX497" s="186"/>
      <c r="AY497" s="186"/>
      <c r="AZ497" s="186"/>
      <c r="BA497" s="186"/>
      <c r="BB497" s="186"/>
      <c r="BC497" s="186"/>
      <c r="BD497" s="186"/>
      <c r="BE497" s="186"/>
      <c r="BF497" s="150"/>
      <c r="BG497" s="150"/>
    </row>
    <row r="498" spans="3:59" ht="14.6">
      <c r="C498" s="289"/>
      <c r="D498" s="150"/>
      <c r="E498" s="150"/>
      <c r="F498" s="150"/>
      <c r="G498" s="150"/>
      <c r="H498" s="150"/>
      <c r="I498" s="150"/>
      <c r="J498" s="150"/>
      <c r="K498" s="150"/>
      <c r="L498" s="150"/>
      <c r="M498" s="150"/>
      <c r="N498" s="150"/>
      <c r="O498" s="150"/>
      <c r="P498" s="150"/>
      <c r="Q498" s="150"/>
      <c r="R498" s="150"/>
      <c r="S498" s="150"/>
      <c r="T498" s="186"/>
      <c r="U498" s="186"/>
      <c r="V498" s="186"/>
      <c r="W498" s="186"/>
      <c r="X498" s="186"/>
      <c r="Y498" s="186"/>
      <c r="Z498" s="186"/>
      <c r="AA498" s="186"/>
      <c r="AB498" s="186"/>
      <c r="AC498" s="186"/>
      <c r="AD498" s="186"/>
      <c r="AF498" s="150"/>
      <c r="AG498" s="150"/>
      <c r="AH498" s="150"/>
      <c r="AI498" s="150"/>
      <c r="AJ498" s="150"/>
      <c r="AK498" s="150"/>
      <c r="AL498" s="150"/>
      <c r="AM498" s="150"/>
      <c r="AN498" s="150"/>
      <c r="AO498" s="150"/>
      <c r="AP498" s="150"/>
      <c r="AQ498" s="150"/>
      <c r="AT498" s="186"/>
      <c r="AU498" s="186"/>
      <c r="AV498" s="186"/>
      <c r="AW498" s="186"/>
      <c r="AX498" s="186"/>
      <c r="AY498" s="186"/>
      <c r="AZ498" s="186"/>
      <c r="BA498" s="186"/>
      <c r="BB498" s="186"/>
      <c r="BC498" s="186"/>
      <c r="BD498" s="186"/>
      <c r="BE498" s="186"/>
      <c r="BF498" s="150"/>
      <c r="BG498" s="150"/>
    </row>
    <row r="499" spans="3:59" ht="14.6">
      <c r="C499" s="289"/>
      <c r="D499" s="150"/>
      <c r="E499" s="150"/>
      <c r="F499" s="150"/>
      <c r="G499" s="150"/>
      <c r="H499" s="150"/>
      <c r="I499" s="150"/>
      <c r="J499" s="150"/>
      <c r="K499" s="150"/>
      <c r="L499" s="150"/>
      <c r="M499" s="150"/>
      <c r="N499" s="150"/>
      <c r="O499" s="150"/>
      <c r="P499" s="150"/>
      <c r="Q499" s="150"/>
      <c r="R499" s="150"/>
      <c r="S499" s="150"/>
      <c r="T499" s="186"/>
      <c r="U499" s="186"/>
      <c r="V499" s="186"/>
      <c r="W499" s="186"/>
      <c r="X499" s="186"/>
      <c r="Y499" s="186"/>
      <c r="Z499" s="186"/>
      <c r="AA499" s="186"/>
      <c r="AB499" s="186"/>
      <c r="AC499" s="186"/>
      <c r="AD499" s="186"/>
      <c r="AF499" s="150"/>
      <c r="AG499" s="150"/>
      <c r="AH499" s="150"/>
      <c r="AI499" s="150"/>
      <c r="AJ499" s="150"/>
      <c r="AK499" s="150"/>
      <c r="AL499" s="150"/>
      <c r="AM499" s="150"/>
      <c r="AN499" s="150"/>
      <c r="AO499" s="150"/>
      <c r="AP499" s="150"/>
      <c r="AQ499" s="150"/>
      <c r="AT499" s="186"/>
      <c r="AU499" s="186"/>
      <c r="AV499" s="186"/>
      <c r="AW499" s="186"/>
      <c r="AX499" s="186"/>
      <c r="AY499" s="186"/>
      <c r="AZ499" s="186"/>
      <c r="BA499" s="186"/>
      <c r="BB499" s="186"/>
      <c r="BC499" s="186"/>
      <c r="BD499" s="186"/>
      <c r="BE499" s="186"/>
      <c r="BF499" s="150"/>
      <c r="BG499" s="150"/>
    </row>
    <row r="500" spans="3:59" ht="14.6">
      <c r="C500" s="289"/>
      <c r="D500" s="150"/>
      <c r="E500" s="150"/>
      <c r="F500" s="150"/>
      <c r="G500" s="150"/>
      <c r="H500" s="150"/>
      <c r="I500" s="150"/>
      <c r="J500" s="150"/>
      <c r="K500" s="150"/>
      <c r="L500" s="150"/>
      <c r="M500" s="150"/>
      <c r="N500" s="150"/>
      <c r="O500" s="150"/>
      <c r="P500" s="150"/>
      <c r="Q500" s="150"/>
      <c r="R500" s="150"/>
      <c r="S500" s="150"/>
      <c r="T500" s="186"/>
      <c r="U500" s="186"/>
      <c r="V500" s="186"/>
      <c r="W500" s="186"/>
      <c r="X500" s="186"/>
      <c r="Y500" s="186"/>
      <c r="Z500" s="186"/>
      <c r="AA500" s="186"/>
      <c r="AB500" s="186"/>
      <c r="AC500" s="186"/>
      <c r="AD500" s="186"/>
      <c r="AF500" s="150"/>
      <c r="AG500" s="150"/>
      <c r="AH500" s="150"/>
      <c r="AI500" s="150"/>
      <c r="AJ500" s="150"/>
      <c r="AK500" s="150"/>
      <c r="AL500" s="150"/>
      <c r="AM500" s="150"/>
      <c r="AN500" s="150"/>
      <c r="AO500" s="150"/>
      <c r="AP500" s="150"/>
      <c r="AQ500" s="150"/>
      <c r="AT500" s="186"/>
      <c r="AU500" s="186"/>
      <c r="AV500" s="186"/>
      <c r="AW500" s="186"/>
      <c r="AX500" s="186"/>
      <c r="AY500" s="186"/>
      <c r="AZ500" s="186"/>
      <c r="BA500" s="186"/>
      <c r="BB500" s="186"/>
      <c r="BC500" s="186"/>
      <c r="BD500" s="186"/>
      <c r="BE500" s="186"/>
      <c r="BF500" s="150"/>
      <c r="BG500" s="150"/>
    </row>
    <row r="501" spans="3:59" ht="14.6">
      <c r="C501" s="289"/>
      <c r="D501" s="150"/>
      <c r="E501" s="150"/>
      <c r="F501" s="150"/>
      <c r="G501" s="150"/>
      <c r="H501" s="150"/>
      <c r="I501" s="150"/>
      <c r="J501" s="150"/>
      <c r="K501" s="150"/>
      <c r="L501" s="150"/>
      <c r="M501" s="150"/>
      <c r="N501" s="150"/>
      <c r="O501" s="150"/>
      <c r="P501" s="150"/>
      <c r="Q501" s="150"/>
      <c r="R501" s="150"/>
      <c r="S501" s="150"/>
      <c r="T501" s="186"/>
      <c r="U501" s="186"/>
      <c r="V501" s="186"/>
      <c r="W501" s="186"/>
      <c r="X501" s="186"/>
      <c r="Y501" s="186"/>
      <c r="Z501" s="186"/>
      <c r="AA501" s="186"/>
      <c r="AB501" s="186"/>
      <c r="AC501" s="186"/>
      <c r="AD501" s="186"/>
      <c r="AF501" s="150"/>
      <c r="AG501" s="150"/>
      <c r="AH501" s="150"/>
      <c r="AI501" s="150"/>
      <c r="AJ501" s="150"/>
      <c r="AK501" s="150"/>
      <c r="AL501" s="150"/>
      <c r="AM501" s="150"/>
      <c r="AN501" s="150"/>
      <c r="AO501" s="150"/>
      <c r="AP501" s="150"/>
      <c r="AQ501" s="150"/>
      <c r="AT501" s="186"/>
      <c r="AU501" s="186"/>
      <c r="AV501" s="186"/>
      <c r="AW501" s="186"/>
      <c r="AX501" s="186"/>
      <c r="AY501" s="186"/>
      <c r="AZ501" s="186"/>
      <c r="BA501" s="186"/>
      <c r="BB501" s="186"/>
      <c r="BC501" s="186"/>
      <c r="BD501" s="186"/>
      <c r="BE501" s="186"/>
      <c r="BF501" s="150"/>
      <c r="BG501" s="150"/>
    </row>
    <row r="502" spans="3:59" ht="14.6">
      <c r="C502" s="289"/>
      <c r="D502" s="150"/>
      <c r="E502" s="150"/>
      <c r="F502" s="150"/>
      <c r="G502" s="150"/>
      <c r="H502" s="150"/>
      <c r="I502" s="150"/>
      <c r="J502" s="150"/>
      <c r="K502" s="150"/>
      <c r="L502" s="150"/>
      <c r="M502" s="150"/>
      <c r="N502" s="150"/>
      <c r="O502" s="150"/>
      <c r="P502" s="150"/>
      <c r="Q502" s="150"/>
      <c r="R502" s="150"/>
      <c r="S502" s="150"/>
      <c r="T502" s="186"/>
      <c r="U502" s="186"/>
      <c r="V502" s="186"/>
      <c r="W502" s="186"/>
      <c r="X502" s="186"/>
      <c r="Y502" s="186"/>
      <c r="Z502" s="186"/>
      <c r="AA502" s="186"/>
      <c r="AB502" s="186"/>
      <c r="AC502" s="186"/>
      <c r="AD502" s="186"/>
      <c r="AF502" s="150"/>
      <c r="AG502" s="150"/>
      <c r="AH502" s="150"/>
      <c r="AI502" s="150"/>
      <c r="AJ502" s="150"/>
      <c r="AK502" s="150"/>
      <c r="AL502" s="150"/>
      <c r="AM502" s="150"/>
      <c r="AN502" s="150"/>
      <c r="AO502" s="150"/>
      <c r="AP502" s="150"/>
      <c r="AQ502" s="150"/>
      <c r="AT502" s="186"/>
      <c r="AU502" s="186"/>
      <c r="AV502" s="186"/>
      <c r="AW502" s="186"/>
      <c r="AX502" s="186"/>
      <c r="AY502" s="186"/>
      <c r="AZ502" s="186"/>
      <c r="BA502" s="186"/>
      <c r="BB502" s="186"/>
      <c r="BC502" s="186"/>
      <c r="BD502" s="186"/>
      <c r="BE502" s="186"/>
      <c r="BF502" s="150"/>
      <c r="BG502" s="150"/>
    </row>
    <row r="503" spans="3:59" ht="14.6">
      <c r="C503" s="289"/>
      <c r="D503" s="150"/>
      <c r="E503" s="150"/>
      <c r="F503" s="150"/>
      <c r="G503" s="150"/>
      <c r="H503" s="150"/>
      <c r="I503" s="150"/>
      <c r="J503" s="150"/>
      <c r="K503" s="150"/>
      <c r="L503" s="150"/>
      <c r="M503" s="150"/>
      <c r="N503" s="150"/>
      <c r="O503" s="150"/>
      <c r="P503" s="150"/>
      <c r="Q503" s="150"/>
      <c r="R503" s="150"/>
      <c r="S503" s="150"/>
      <c r="T503" s="186"/>
      <c r="U503" s="186"/>
      <c r="V503" s="186"/>
      <c r="W503" s="186"/>
      <c r="X503" s="186"/>
      <c r="Y503" s="186"/>
      <c r="Z503" s="186"/>
      <c r="AA503" s="186"/>
      <c r="AB503" s="186"/>
      <c r="AC503" s="186"/>
      <c r="AD503" s="186"/>
      <c r="AF503" s="150"/>
      <c r="AG503" s="150"/>
      <c r="AH503" s="150"/>
      <c r="AI503" s="150"/>
      <c r="AJ503" s="150"/>
      <c r="AK503" s="150"/>
      <c r="AL503" s="150"/>
      <c r="AM503" s="150"/>
      <c r="AN503" s="150"/>
      <c r="AO503" s="150"/>
      <c r="AP503" s="150"/>
      <c r="AQ503" s="150"/>
      <c r="AT503" s="186"/>
      <c r="AU503" s="186"/>
      <c r="AV503" s="186"/>
      <c r="AW503" s="186"/>
      <c r="AX503" s="186"/>
      <c r="AY503" s="186"/>
      <c r="AZ503" s="186"/>
      <c r="BA503" s="186"/>
      <c r="BB503" s="186"/>
      <c r="BC503" s="186"/>
      <c r="BD503" s="186"/>
      <c r="BE503" s="186"/>
      <c r="BF503" s="150"/>
      <c r="BG503" s="150"/>
    </row>
    <row r="504" spans="3:59" ht="14.6">
      <c r="C504" s="289"/>
      <c r="D504" s="150"/>
      <c r="E504" s="150"/>
      <c r="F504" s="150"/>
      <c r="G504" s="150"/>
      <c r="H504" s="150"/>
      <c r="I504" s="150"/>
      <c r="J504" s="150"/>
      <c r="K504" s="150"/>
      <c r="L504" s="150"/>
      <c r="M504" s="150"/>
      <c r="N504" s="150"/>
      <c r="O504" s="150"/>
      <c r="P504" s="150"/>
      <c r="Q504" s="150"/>
      <c r="R504" s="150"/>
      <c r="S504" s="150"/>
      <c r="T504" s="186"/>
      <c r="U504" s="186"/>
      <c r="V504" s="186"/>
      <c r="W504" s="186"/>
      <c r="X504" s="186"/>
      <c r="Y504" s="186"/>
      <c r="Z504" s="186"/>
      <c r="AA504" s="186"/>
      <c r="AB504" s="186"/>
      <c r="AC504" s="186"/>
      <c r="AD504" s="186"/>
      <c r="AF504" s="150"/>
      <c r="AG504" s="150"/>
      <c r="AH504" s="150"/>
      <c r="AI504" s="150"/>
      <c r="AJ504" s="150"/>
      <c r="AK504" s="150"/>
      <c r="AL504" s="150"/>
      <c r="AM504" s="150"/>
      <c r="AN504" s="150"/>
      <c r="AO504" s="150"/>
      <c r="AP504" s="150"/>
      <c r="AQ504" s="150"/>
      <c r="AT504" s="186"/>
      <c r="AU504" s="186"/>
      <c r="AV504" s="186"/>
      <c r="AW504" s="186"/>
      <c r="AX504" s="186"/>
      <c r="AY504" s="186"/>
      <c r="AZ504" s="186"/>
      <c r="BA504" s="186"/>
      <c r="BB504" s="186"/>
      <c r="BC504" s="186"/>
      <c r="BD504" s="186"/>
      <c r="BE504" s="186"/>
      <c r="BF504" s="150"/>
      <c r="BG504" s="150"/>
    </row>
    <row r="505" spans="3:59" ht="14.6">
      <c r="C505" s="289"/>
      <c r="D505" s="150"/>
      <c r="E505" s="150"/>
      <c r="F505" s="150"/>
      <c r="G505" s="150"/>
      <c r="H505" s="150"/>
      <c r="I505" s="150"/>
      <c r="J505" s="150"/>
      <c r="K505" s="150"/>
      <c r="L505" s="150"/>
      <c r="M505" s="150"/>
      <c r="N505" s="150"/>
      <c r="O505" s="150"/>
      <c r="P505" s="150"/>
      <c r="Q505" s="150"/>
      <c r="R505" s="150"/>
      <c r="S505" s="150"/>
      <c r="T505" s="186"/>
      <c r="U505" s="186"/>
      <c r="V505" s="186"/>
      <c r="W505" s="186"/>
      <c r="X505" s="186"/>
      <c r="Y505" s="186"/>
      <c r="Z505" s="186"/>
      <c r="AA505" s="186"/>
      <c r="AB505" s="186"/>
      <c r="AC505" s="186"/>
      <c r="AD505" s="186"/>
      <c r="AF505" s="150"/>
      <c r="AG505" s="150"/>
      <c r="AH505" s="150"/>
      <c r="AI505" s="150"/>
      <c r="AJ505" s="150"/>
      <c r="AK505" s="150"/>
      <c r="AL505" s="150"/>
      <c r="AM505" s="150"/>
      <c r="AN505" s="150"/>
      <c r="AO505" s="150"/>
      <c r="AP505" s="150"/>
      <c r="AQ505" s="150"/>
      <c r="AT505" s="186"/>
      <c r="AU505" s="186"/>
      <c r="AV505" s="186"/>
      <c r="AW505" s="186"/>
      <c r="AX505" s="186"/>
      <c r="AY505" s="186"/>
      <c r="AZ505" s="186"/>
      <c r="BA505" s="186"/>
      <c r="BB505" s="186"/>
      <c r="BC505" s="186"/>
      <c r="BD505" s="186"/>
      <c r="BE505" s="186"/>
      <c r="BF505" s="150"/>
      <c r="BG505" s="150"/>
    </row>
    <row r="506" spans="3:59" ht="14.6">
      <c r="C506" s="289"/>
      <c r="D506" s="150"/>
      <c r="E506" s="150"/>
      <c r="F506" s="150"/>
      <c r="G506" s="150"/>
      <c r="H506" s="150"/>
      <c r="I506" s="150"/>
      <c r="J506" s="150"/>
      <c r="K506" s="150"/>
      <c r="L506" s="150"/>
      <c r="M506" s="150"/>
      <c r="N506" s="150"/>
      <c r="O506" s="150"/>
      <c r="P506" s="150"/>
      <c r="Q506" s="150"/>
      <c r="R506" s="150"/>
      <c r="S506" s="150"/>
      <c r="T506" s="186"/>
      <c r="U506" s="186"/>
      <c r="V506" s="186"/>
      <c r="W506" s="186"/>
      <c r="X506" s="186"/>
      <c r="Y506" s="186"/>
      <c r="Z506" s="186"/>
      <c r="AA506" s="186"/>
      <c r="AB506" s="186"/>
      <c r="AC506" s="186"/>
      <c r="AD506" s="186"/>
      <c r="AF506" s="150"/>
      <c r="AG506" s="150"/>
      <c r="AH506" s="150"/>
      <c r="AI506" s="150"/>
      <c r="AJ506" s="150"/>
      <c r="AK506" s="150"/>
      <c r="AL506" s="150"/>
      <c r="AM506" s="150"/>
      <c r="AN506" s="150"/>
      <c r="AO506" s="150"/>
      <c r="AP506" s="150"/>
      <c r="AQ506" s="150"/>
      <c r="AT506" s="186"/>
      <c r="AU506" s="186"/>
      <c r="AV506" s="186"/>
      <c r="AW506" s="186"/>
      <c r="AX506" s="186"/>
      <c r="AY506" s="186"/>
      <c r="AZ506" s="186"/>
      <c r="BA506" s="186"/>
      <c r="BB506" s="186"/>
      <c r="BC506" s="186"/>
      <c r="BD506" s="186"/>
      <c r="BE506" s="186"/>
      <c r="BF506" s="150"/>
      <c r="BG506" s="150"/>
    </row>
    <row r="507" spans="3:59" ht="14.6">
      <c r="C507" s="289"/>
      <c r="D507" s="150"/>
      <c r="E507" s="150"/>
      <c r="F507" s="150"/>
      <c r="G507" s="150"/>
      <c r="H507" s="150"/>
      <c r="I507" s="150"/>
      <c r="J507" s="150"/>
      <c r="K507" s="150"/>
      <c r="L507" s="150"/>
      <c r="M507" s="150"/>
      <c r="N507" s="150"/>
      <c r="O507" s="150"/>
      <c r="P507" s="150"/>
      <c r="Q507" s="150"/>
      <c r="R507" s="150"/>
      <c r="S507" s="150"/>
      <c r="T507" s="186"/>
      <c r="U507" s="186"/>
      <c r="V507" s="186"/>
      <c r="W507" s="186"/>
      <c r="X507" s="186"/>
      <c r="Y507" s="186"/>
      <c r="Z507" s="186"/>
      <c r="AA507" s="186"/>
      <c r="AB507" s="186"/>
      <c r="AC507" s="186"/>
      <c r="AD507" s="186"/>
      <c r="AF507" s="150"/>
      <c r="AG507" s="150"/>
      <c r="AH507" s="150"/>
      <c r="AI507" s="150"/>
      <c r="AJ507" s="150"/>
      <c r="AK507" s="150"/>
      <c r="AL507" s="150"/>
      <c r="AM507" s="150"/>
      <c r="AN507" s="150"/>
      <c r="AO507" s="150"/>
      <c r="AP507" s="150"/>
      <c r="AQ507" s="150"/>
      <c r="AT507" s="186"/>
      <c r="AU507" s="186"/>
      <c r="AV507" s="186"/>
      <c r="AW507" s="186"/>
      <c r="AX507" s="186"/>
      <c r="AY507" s="186"/>
      <c r="AZ507" s="186"/>
      <c r="BA507" s="186"/>
      <c r="BB507" s="186"/>
      <c r="BC507" s="186"/>
      <c r="BD507" s="186"/>
      <c r="BE507" s="186"/>
      <c r="BF507" s="150"/>
      <c r="BG507" s="150"/>
    </row>
    <row r="508" spans="3:59" ht="14.6">
      <c r="C508" s="289"/>
      <c r="D508" s="150"/>
      <c r="E508" s="150"/>
      <c r="F508" s="150"/>
      <c r="G508" s="150"/>
      <c r="H508" s="150"/>
      <c r="I508" s="150"/>
      <c r="J508" s="150"/>
      <c r="K508" s="150"/>
      <c r="L508" s="150"/>
      <c r="M508" s="150"/>
      <c r="N508" s="150"/>
      <c r="O508" s="150"/>
      <c r="P508" s="150"/>
      <c r="Q508" s="150"/>
      <c r="R508" s="150"/>
      <c r="S508" s="150"/>
      <c r="T508" s="186"/>
      <c r="U508" s="186"/>
      <c r="V508" s="186"/>
      <c r="W508" s="186"/>
      <c r="X508" s="186"/>
      <c r="Y508" s="186"/>
      <c r="Z508" s="186"/>
      <c r="AA508" s="186"/>
      <c r="AB508" s="186"/>
      <c r="AC508" s="186"/>
      <c r="AD508" s="186"/>
      <c r="AF508" s="150"/>
      <c r="AG508" s="150"/>
      <c r="AH508" s="150"/>
      <c r="AI508" s="150"/>
      <c r="AJ508" s="150"/>
      <c r="AK508" s="150"/>
      <c r="AL508" s="150"/>
      <c r="AM508" s="150"/>
      <c r="AN508" s="150"/>
      <c r="AO508" s="150"/>
      <c r="AP508" s="150"/>
      <c r="AQ508" s="150"/>
      <c r="AT508" s="186"/>
      <c r="AU508" s="186"/>
      <c r="AV508" s="186"/>
      <c r="AW508" s="186"/>
      <c r="AX508" s="186"/>
      <c r="AY508" s="186"/>
      <c r="AZ508" s="186"/>
      <c r="BA508" s="186"/>
      <c r="BB508" s="186"/>
      <c r="BC508" s="186"/>
      <c r="BD508" s="186"/>
      <c r="BE508" s="186"/>
      <c r="BF508" s="150"/>
      <c r="BG508" s="150"/>
    </row>
    <row r="509" spans="3:59" ht="14.6">
      <c r="C509" s="289"/>
      <c r="D509" s="150"/>
      <c r="E509" s="150"/>
      <c r="F509" s="150"/>
      <c r="G509" s="150"/>
      <c r="H509" s="150"/>
      <c r="I509" s="150"/>
      <c r="J509" s="150"/>
      <c r="K509" s="150"/>
      <c r="L509" s="150"/>
      <c r="M509" s="150"/>
      <c r="N509" s="150"/>
      <c r="O509" s="150"/>
      <c r="P509" s="150"/>
      <c r="Q509" s="150"/>
      <c r="R509" s="150"/>
      <c r="S509" s="150"/>
      <c r="T509" s="186"/>
      <c r="U509" s="186"/>
      <c r="V509" s="186"/>
      <c r="W509" s="186"/>
      <c r="X509" s="186"/>
      <c r="Y509" s="186"/>
      <c r="Z509" s="186"/>
      <c r="AA509" s="186"/>
      <c r="AB509" s="186"/>
      <c r="AC509" s="186"/>
      <c r="AD509" s="186"/>
      <c r="AF509" s="150"/>
      <c r="AG509" s="150"/>
      <c r="AH509" s="150"/>
      <c r="AI509" s="150"/>
      <c r="AJ509" s="150"/>
      <c r="AK509" s="150"/>
      <c r="AL509" s="150"/>
      <c r="AM509" s="150"/>
      <c r="AN509" s="150"/>
      <c r="AO509" s="150"/>
      <c r="AP509" s="150"/>
      <c r="AQ509" s="150"/>
      <c r="AT509" s="186"/>
      <c r="AU509" s="186"/>
      <c r="AV509" s="186"/>
      <c r="AW509" s="186"/>
      <c r="AX509" s="186"/>
      <c r="AY509" s="186"/>
      <c r="AZ509" s="186"/>
      <c r="BA509" s="186"/>
      <c r="BB509" s="186"/>
      <c r="BC509" s="186"/>
      <c r="BD509" s="186"/>
      <c r="BE509" s="186"/>
      <c r="BF509" s="150"/>
      <c r="BG509" s="150"/>
    </row>
    <row r="510" spans="3:59" ht="14.6">
      <c r="C510" s="289"/>
      <c r="D510" s="150"/>
      <c r="E510" s="150"/>
      <c r="F510" s="150"/>
      <c r="G510" s="150"/>
      <c r="H510" s="150"/>
      <c r="I510" s="150"/>
      <c r="J510" s="150"/>
      <c r="K510" s="150"/>
      <c r="L510" s="150"/>
      <c r="M510" s="150"/>
      <c r="N510" s="150"/>
      <c r="O510" s="150"/>
      <c r="P510" s="150"/>
      <c r="Q510" s="150"/>
      <c r="R510" s="150"/>
      <c r="S510" s="150"/>
      <c r="T510" s="186"/>
      <c r="U510" s="186"/>
      <c r="V510" s="186"/>
      <c r="W510" s="186"/>
      <c r="X510" s="186"/>
      <c r="Y510" s="186"/>
      <c r="Z510" s="186"/>
      <c r="AA510" s="186"/>
      <c r="AB510" s="186"/>
      <c r="AC510" s="186"/>
      <c r="AD510" s="186"/>
      <c r="AF510" s="150"/>
      <c r="AG510" s="150"/>
      <c r="AH510" s="150"/>
      <c r="AI510" s="150"/>
      <c r="AJ510" s="150"/>
      <c r="AK510" s="150"/>
      <c r="AL510" s="150"/>
      <c r="AM510" s="150"/>
      <c r="AN510" s="150"/>
      <c r="AO510" s="150"/>
      <c r="AP510" s="150"/>
      <c r="AQ510" s="150"/>
      <c r="AT510" s="186"/>
      <c r="AU510" s="186"/>
      <c r="AV510" s="186"/>
      <c r="AW510" s="186"/>
      <c r="AX510" s="186"/>
      <c r="AY510" s="186"/>
      <c r="AZ510" s="186"/>
      <c r="BA510" s="186"/>
      <c r="BB510" s="186"/>
      <c r="BC510" s="186"/>
      <c r="BD510" s="186"/>
      <c r="BE510" s="186"/>
      <c r="BF510" s="150"/>
      <c r="BG510" s="150"/>
    </row>
    <row r="511" spans="3:59" ht="14.6">
      <c r="C511" s="289"/>
      <c r="D511" s="150"/>
      <c r="E511" s="150"/>
      <c r="F511" s="150"/>
      <c r="G511" s="150"/>
      <c r="H511" s="150"/>
      <c r="I511" s="150"/>
      <c r="J511" s="150"/>
      <c r="K511" s="150"/>
      <c r="L511" s="150"/>
      <c r="M511" s="150"/>
      <c r="N511" s="150"/>
      <c r="O511" s="150"/>
      <c r="P511" s="150"/>
      <c r="Q511" s="150"/>
      <c r="R511" s="150"/>
      <c r="S511" s="150"/>
      <c r="T511" s="186"/>
      <c r="U511" s="186"/>
      <c r="V511" s="186"/>
      <c r="W511" s="186"/>
      <c r="X511" s="186"/>
      <c r="Y511" s="186"/>
      <c r="Z511" s="186"/>
      <c r="AA511" s="186"/>
      <c r="AB511" s="186"/>
      <c r="AC511" s="186"/>
      <c r="AD511" s="186"/>
      <c r="AF511" s="150"/>
      <c r="AG511" s="150"/>
      <c r="AH511" s="150"/>
      <c r="AI511" s="150"/>
      <c r="AJ511" s="150"/>
      <c r="AK511" s="150"/>
      <c r="AL511" s="150"/>
      <c r="AM511" s="150"/>
      <c r="AN511" s="150"/>
      <c r="AO511" s="150"/>
      <c r="AP511" s="150"/>
      <c r="AQ511" s="150"/>
      <c r="AT511" s="186"/>
      <c r="AU511" s="186"/>
      <c r="AV511" s="186"/>
      <c r="AW511" s="186"/>
      <c r="AX511" s="186"/>
      <c r="AY511" s="186"/>
      <c r="AZ511" s="186"/>
      <c r="BA511" s="186"/>
      <c r="BB511" s="186"/>
      <c r="BC511" s="186"/>
      <c r="BD511" s="186"/>
      <c r="BE511" s="186"/>
      <c r="BF511" s="150"/>
      <c r="BG511" s="150"/>
    </row>
    <row r="512" spans="3:59" ht="14.6">
      <c r="C512" s="289"/>
      <c r="D512" s="150"/>
      <c r="E512" s="150"/>
      <c r="F512" s="150"/>
      <c r="G512" s="150"/>
      <c r="H512" s="150"/>
      <c r="I512" s="150"/>
      <c r="J512" s="150"/>
      <c r="K512" s="150"/>
      <c r="L512" s="150"/>
      <c r="M512" s="150"/>
      <c r="N512" s="150"/>
      <c r="O512" s="150"/>
      <c r="P512" s="150"/>
      <c r="Q512" s="150"/>
      <c r="R512" s="150"/>
      <c r="S512" s="150"/>
      <c r="T512" s="186"/>
      <c r="U512" s="186"/>
      <c r="V512" s="186"/>
      <c r="W512" s="186"/>
      <c r="X512" s="186"/>
      <c r="Y512" s="186"/>
      <c r="Z512" s="186"/>
      <c r="AA512" s="186"/>
      <c r="AB512" s="186"/>
      <c r="AC512" s="186"/>
      <c r="AD512" s="186"/>
      <c r="AF512" s="150"/>
      <c r="AG512" s="150"/>
      <c r="AH512" s="150"/>
      <c r="AI512" s="150"/>
      <c r="AJ512" s="150"/>
      <c r="AK512" s="150"/>
      <c r="AL512" s="150"/>
      <c r="AM512" s="150"/>
      <c r="AN512" s="150"/>
      <c r="AO512" s="150"/>
      <c r="AP512" s="150"/>
      <c r="AQ512" s="150"/>
      <c r="AT512" s="186"/>
      <c r="AU512" s="186"/>
      <c r="AV512" s="186"/>
      <c r="AW512" s="186"/>
      <c r="AX512" s="186"/>
      <c r="AY512" s="186"/>
      <c r="AZ512" s="186"/>
      <c r="BA512" s="186"/>
      <c r="BB512" s="186"/>
      <c r="BC512" s="186"/>
      <c r="BD512" s="186"/>
      <c r="BE512" s="186"/>
      <c r="BF512" s="150"/>
      <c r="BG512" s="150"/>
    </row>
    <row r="513" spans="3:59" ht="14.6">
      <c r="C513" s="289"/>
      <c r="D513" s="150"/>
      <c r="E513" s="150"/>
      <c r="F513" s="150"/>
      <c r="G513" s="150"/>
      <c r="H513" s="150"/>
      <c r="I513" s="150"/>
      <c r="J513" s="150"/>
      <c r="K513" s="150"/>
      <c r="L513" s="150"/>
      <c r="M513" s="150"/>
      <c r="N513" s="150"/>
      <c r="O513" s="150"/>
      <c r="P513" s="150"/>
      <c r="Q513" s="150"/>
      <c r="R513" s="150"/>
      <c r="S513" s="150"/>
      <c r="T513" s="186"/>
      <c r="U513" s="186"/>
      <c r="V513" s="186"/>
      <c r="W513" s="186"/>
      <c r="X513" s="186"/>
      <c r="Y513" s="186"/>
      <c r="Z513" s="186"/>
      <c r="AA513" s="186"/>
      <c r="AB513" s="186"/>
      <c r="AC513" s="186"/>
      <c r="AD513" s="186"/>
      <c r="AF513" s="150"/>
      <c r="AG513" s="150"/>
      <c r="AH513" s="150"/>
      <c r="AI513" s="150"/>
      <c r="AJ513" s="150"/>
      <c r="AK513" s="150"/>
      <c r="AL513" s="150"/>
      <c r="AM513" s="150"/>
      <c r="AN513" s="150"/>
      <c r="AO513" s="150"/>
      <c r="AP513" s="150"/>
      <c r="AQ513" s="150"/>
      <c r="AT513" s="186"/>
      <c r="AU513" s="186"/>
      <c r="AV513" s="186"/>
      <c r="AW513" s="186"/>
      <c r="AX513" s="186"/>
      <c r="AY513" s="186"/>
      <c r="AZ513" s="186"/>
      <c r="BA513" s="186"/>
      <c r="BB513" s="186"/>
      <c r="BC513" s="186"/>
      <c r="BD513" s="186"/>
      <c r="BE513" s="186"/>
      <c r="BF513" s="150"/>
      <c r="BG513" s="150"/>
    </row>
    <row r="514" spans="3:59" ht="14.6">
      <c r="C514" s="289"/>
      <c r="D514" s="150"/>
      <c r="E514" s="150"/>
      <c r="F514" s="150"/>
      <c r="G514" s="150"/>
      <c r="H514" s="150"/>
      <c r="I514" s="150"/>
      <c r="J514" s="150"/>
      <c r="K514" s="150"/>
      <c r="L514" s="150"/>
      <c r="M514" s="150"/>
      <c r="N514" s="150"/>
      <c r="O514" s="150"/>
      <c r="P514" s="150"/>
      <c r="Q514" s="150"/>
      <c r="R514" s="150"/>
      <c r="S514" s="150"/>
      <c r="T514" s="186"/>
      <c r="U514" s="186"/>
      <c r="V514" s="186"/>
      <c r="W514" s="186"/>
      <c r="X514" s="186"/>
      <c r="Y514" s="186"/>
      <c r="Z514" s="186"/>
      <c r="AA514" s="186"/>
      <c r="AB514" s="186"/>
      <c r="AC514" s="186"/>
      <c r="AD514" s="186"/>
      <c r="AF514" s="150"/>
      <c r="AG514" s="150"/>
      <c r="AH514" s="150"/>
      <c r="AI514" s="150"/>
      <c r="AJ514" s="150"/>
      <c r="AK514" s="150"/>
      <c r="AL514" s="150"/>
      <c r="AM514" s="150"/>
      <c r="AN514" s="150"/>
      <c r="AO514" s="150"/>
      <c r="AP514" s="150"/>
      <c r="AQ514" s="150"/>
      <c r="AT514" s="186"/>
      <c r="AU514" s="186"/>
      <c r="AV514" s="186"/>
      <c r="AW514" s="186"/>
      <c r="AX514" s="186"/>
      <c r="AY514" s="186"/>
      <c r="AZ514" s="186"/>
      <c r="BA514" s="186"/>
      <c r="BB514" s="186"/>
      <c r="BC514" s="186"/>
      <c r="BD514" s="186"/>
      <c r="BE514" s="186"/>
      <c r="BF514" s="150"/>
      <c r="BG514" s="150"/>
    </row>
    <row r="515" spans="3:59" ht="14.6">
      <c r="C515" s="289"/>
      <c r="D515" s="150"/>
      <c r="E515" s="150"/>
      <c r="F515" s="150"/>
      <c r="G515" s="150"/>
      <c r="H515" s="150"/>
      <c r="I515" s="150"/>
      <c r="J515" s="150"/>
      <c r="K515" s="150"/>
      <c r="L515" s="150"/>
      <c r="M515" s="150"/>
      <c r="N515" s="150"/>
      <c r="O515" s="150"/>
      <c r="P515" s="150"/>
      <c r="Q515" s="150"/>
      <c r="R515" s="150"/>
      <c r="S515" s="150"/>
      <c r="T515" s="186"/>
      <c r="U515" s="186"/>
      <c r="V515" s="186"/>
      <c r="W515" s="186"/>
      <c r="X515" s="186"/>
      <c r="Y515" s="186"/>
      <c r="Z515" s="186"/>
      <c r="AA515" s="186"/>
      <c r="AB515" s="186"/>
      <c r="AC515" s="186"/>
      <c r="AD515" s="186"/>
      <c r="AF515" s="150"/>
      <c r="AG515" s="150"/>
      <c r="AH515" s="150"/>
      <c r="AI515" s="150"/>
      <c r="AJ515" s="150"/>
      <c r="AK515" s="150"/>
      <c r="AL515" s="150"/>
      <c r="AM515" s="150"/>
      <c r="AN515" s="150"/>
      <c r="AO515" s="150"/>
      <c r="AP515" s="150"/>
      <c r="AQ515" s="150"/>
      <c r="AT515" s="186"/>
      <c r="AU515" s="186"/>
      <c r="AV515" s="186"/>
      <c r="AW515" s="186"/>
      <c r="AX515" s="186"/>
      <c r="AY515" s="186"/>
      <c r="AZ515" s="186"/>
      <c r="BA515" s="186"/>
      <c r="BB515" s="186"/>
      <c r="BC515" s="186"/>
      <c r="BD515" s="186"/>
      <c r="BE515" s="186"/>
      <c r="BF515" s="150"/>
      <c r="BG515" s="150"/>
    </row>
    <row r="516" spans="3:59" ht="14.6">
      <c r="C516" s="289"/>
      <c r="D516" s="150"/>
      <c r="E516" s="150"/>
      <c r="F516" s="150"/>
      <c r="G516" s="150"/>
      <c r="H516" s="150"/>
      <c r="I516" s="150"/>
      <c r="J516" s="150"/>
      <c r="K516" s="150"/>
      <c r="L516" s="150"/>
      <c r="M516" s="150"/>
      <c r="N516" s="150"/>
      <c r="O516" s="150"/>
      <c r="P516" s="150"/>
      <c r="Q516" s="150"/>
      <c r="R516" s="150"/>
      <c r="S516" s="150"/>
      <c r="T516" s="186"/>
      <c r="U516" s="186"/>
      <c r="V516" s="186"/>
      <c r="W516" s="186"/>
      <c r="X516" s="186"/>
      <c r="Y516" s="186"/>
      <c r="Z516" s="186"/>
      <c r="AA516" s="186"/>
      <c r="AB516" s="186"/>
      <c r="AC516" s="186"/>
      <c r="AD516" s="186"/>
      <c r="AF516" s="150"/>
      <c r="AG516" s="150"/>
      <c r="AH516" s="150"/>
      <c r="AI516" s="150"/>
      <c r="AJ516" s="150"/>
      <c r="AK516" s="150"/>
      <c r="AL516" s="150"/>
      <c r="AM516" s="150"/>
      <c r="AN516" s="150"/>
      <c r="AO516" s="150"/>
      <c r="AP516" s="150"/>
      <c r="AQ516" s="150"/>
      <c r="AT516" s="186"/>
      <c r="AU516" s="186"/>
      <c r="AV516" s="186"/>
      <c r="AW516" s="186"/>
      <c r="AX516" s="186"/>
      <c r="AY516" s="186"/>
      <c r="AZ516" s="186"/>
      <c r="BA516" s="186"/>
      <c r="BB516" s="186"/>
      <c r="BC516" s="186"/>
      <c r="BD516" s="186"/>
      <c r="BE516" s="186"/>
      <c r="BF516" s="150"/>
      <c r="BG516" s="150"/>
    </row>
    <row r="517" spans="3:59" ht="14.6">
      <c r="C517" s="289"/>
      <c r="D517" s="150"/>
      <c r="E517" s="150"/>
      <c r="F517" s="150"/>
      <c r="G517" s="150"/>
      <c r="H517" s="150"/>
      <c r="I517" s="150"/>
      <c r="J517" s="150"/>
      <c r="K517" s="150"/>
      <c r="L517" s="150"/>
      <c r="M517" s="150"/>
      <c r="N517" s="150"/>
      <c r="O517" s="150"/>
      <c r="P517" s="150"/>
      <c r="Q517" s="150"/>
      <c r="R517" s="150"/>
      <c r="S517" s="150"/>
      <c r="T517" s="186"/>
      <c r="U517" s="186"/>
      <c r="V517" s="186"/>
      <c r="W517" s="186"/>
      <c r="X517" s="186"/>
      <c r="Y517" s="186"/>
      <c r="Z517" s="186"/>
      <c r="AA517" s="186"/>
      <c r="AB517" s="186"/>
      <c r="AC517" s="186"/>
      <c r="AD517" s="186"/>
      <c r="AF517" s="150"/>
      <c r="AG517" s="150"/>
      <c r="AH517" s="150"/>
      <c r="AI517" s="150"/>
      <c r="AJ517" s="150"/>
      <c r="AK517" s="150"/>
      <c r="AL517" s="150"/>
      <c r="AM517" s="150"/>
      <c r="AN517" s="150"/>
      <c r="AO517" s="150"/>
      <c r="AP517" s="150"/>
      <c r="AQ517" s="150"/>
      <c r="AT517" s="186"/>
      <c r="AU517" s="186"/>
      <c r="AV517" s="186"/>
      <c r="AW517" s="186"/>
      <c r="AX517" s="186"/>
      <c r="AY517" s="186"/>
      <c r="AZ517" s="186"/>
      <c r="BA517" s="186"/>
      <c r="BB517" s="186"/>
      <c r="BC517" s="186"/>
      <c r="BD517" s="186"/>
      <c r="BE517" s="186"/>
      <c r="BF517" s="150"/>
      <c r="BG517" s="150"/>
    </row>
    <row r="518" spans="3:59" ht="14.6">
      <c r="C518" s="289"/>
      <c r="D518" s="150"/>
      <c r="E518" s="150"/>
      <c r="F518" s="150"/>
      <c r="G518" s="150"/>
      <c r="H518" s="150"/>
      <c r="I518" s="150"/>
      <c r="J518" s="150"/>
      <c r="K518" s="150"/>
      <c r="L518" s="150"/>
      <c r="M518" s="150"/>
      <c r="N518" s="150"/>
      <c r="O518" s="150"/>
      <c r="P518" s="150"/>
      <c r="Q518" s="150"/>
      <c r="R518" s="150"/>
      <c r="S518" s="150"/>
      <c r="T518" s="186"/>
      <c r="U518" s="186"/>
      <c r="V518" s="186"/>
      <c r="W518" s="186"/>
      <c r="X518" s="186"/>
      <c r="Y518" s="186"/>
      <c r="Z518" s="186"/>
      <c r="AA518" s="186"/>
      <c r="AB518" s="186"/>
      <c r="AC518" s="186"/>
      <c r="AD518" s="186"/>
      <c r="AF518" s="150"/>
      <c r="AG518" s="150"/>
      <c r="AH518" s="150"/>
      <c r="AI518" s="150"/>
      <c r="AJ518" s="150"/>
      <c r="AK518" s="150"/>
      <c r="AL518" s="150"/>
      <c r="AM518" s="150"/>
      <c r="AN518" s="150"/>
      <c r="AO518" s="150"/>
      <c r="AP518" s="150"/>
      <c r="AQ518" s="150"/>
      <c r="AT518" s="186"/>
      <c r="AU518" s="186"/>
      <c r="AV518" s="186"/>
      <c r="AW518" s="186"/>
      <c r="AX518" s="186"/>
      <c r="AY518" s="186"/>
      <c r="AZ518" s="186"/>
      <c r="BA518" s="186"/>
      <c r="BB518" s="186"/>
      <c r="BC518" s="186"/>
      <c r="BD518" s="186"/>
      <c r="BE518" s="186"/>
      <c r="BF518" s="150"/>
      <c r="BG518" s="150"/>
    </row>
    <row r="519" spans="3:59" ht="14.6">
      <c r="C519" s="289"/>
      <c r="D519" s="150"/>
      <c r="E519" s="150"/>
      <c r="F519" s="150"/>
      <c r="G519" s="150"/>
      <c r="H519" s="150"/>
      <c r="I519" s="150"/>
      <c r="J519" s="150"/>
      <c r="K519" s="150"/>
      <c r="L519" s="150"/>
      <c r="M519" s="150"/>
      <c r="N519" s="150"/>
      <c r="O519" s="150"/>
      <c r="P519" s="150"/>
      <c r="Q519" s="150"/>
      <c r="R519" s="150"/>
      <c r="S519" s="150"/>
      <c r="T519" s="186"/>
      <c r="U519" s="186"/>
      <c r="V519" s="186"/>
      <c r="W519" s="186"/>
      <c r="X519" s="186"/>
      <c r="Y519" s="186"/>
      <c r="Z519" s="186"/>
      <c r="AA519" s="186"/>
      <c r="AB519" s="186"/>
      <c r="AC519" s="186"/>
      <c r="AD519" s="186"/>
      <c r="AF519" s="150"/>
      <c r="AG519" s="150"/>
      <c r="AH519" s="150"/>
      <c r="AI519" s="150"/>
      <c r="AJ519" s="150"/>
      <c r="AK519" s="150"/>
      <c r="AL519" s="150"/>
      <c r="AM519" s="150"/>
      <c r="AN519" s="150"/>
      <c r="AO519" s="150"/>
      <c r="AP519" s="150"/>
      <c r="AQ519" s="150"/>
      <c r="AT519" s="186"/>
      <c r="AU519" s="186"/>
      <c r="AV519" s="186"/>
      <c r="AW519" s="186"/>
      <c r="AX519" s="186"/>
      <c r="AY519" s="186"/>
      <c r="AZ519" s="186"/>
      <c r="BA519" s="186"/>
      <c r="BB519" s="186"/>
      <c r="BC519" s="186"/>
      <c r="BD519" s="186"/>
      <c r="BE519" s="186"/>
      <c r="BF519" s="150"/>
      <c r="BG519" s="150"/>
    </row>
    <row r="520" spans="3:59" ht="14.6">
      <c r="C520" s="289"/>
      <c r="D520" s="150"/>
      <c r="E520" s="150"/>
      <c r="F520" s="150"/>
      <c r="G520" s="150"/>
      <c r="H520" s="150"/>
      <c r="I520" s="150"/>
      <c r="J520" s="150"/>
      <c r="K520" s="150"/>
      <c r="L520" s="150"/>
      <c r="M520" s="150"/>
      <c r="N520" s="150"/>
      <c r="O520" s="150"/>
      <c r="P520" s="150"/>
      <c r="Q520" s="150"/>
      <c r="R520" s="150"/>
      <c r="S520" s="150"/>
      <c r="T520" s="186"/>
      <c r="U520" s="186"/>
      <c r="V520" s="186"/>
      <c r="W520" s="186"/>
      <c r="X520" s="186"/>
      <c r="Y520" s="186"/>
      <c r="Z520" s="186"/>
      <c r="AA520" s="186"/>
      <c r="AB520" s="186"/>
      <c r="AC520" s="186"/>
      <c r="AD520" s="186"/>
      <c r="AF520" s="150"/>
      <c r="AG520" s="150"/>
      <c r="AH520" s="150"/>
      <c r="AI520" s="150"/>
      <c r="AJ520" s="150"/>
      <c r="AK520" s="150"/>
      <c r="AL520" s="150"/>
      <c r="AM520" s="150"/>
      <c r="AN520" s="150"/>
      <c r="AO520" s="150"/>
      <c r="AP520" s="150"/>
      <c r="AQ520" s="150"/>
      <c r="AT520" s="186"/>
      <c r="AU520" s="186"/>
      <c r="AV520" s="186"/>
      <c r="AW520" s="186"/>
      <c r="AX520" s="186"/>
      <c r="AY520" s="186"/>
      <c r="AZ520" s="186"/>
      <c r="BA520" s="186"/>
      <c r="BB520" s="186"/>
      <c r="BC520" s="186"/>
      <c r="BD520" s="186"/>
      <c r="BE520" s="186"/>
      <c r="BF520" s="150"/>
      <c r="BG520" s="150"/>
    </row>
    <row r="521" spans="3:59" ht="14.6">
      <c r="C521" s="289"/>
      <c r="D521" s="150"/>
      <c r="E521" s="150"/>
      <c r="F521" s="150"/>
      <c r="G521" s="150"/>
      <c r="H521" s="150"/>
      <c r="I521" s="150"/>
      <c r="J521" s="150"/>
      <c r="K521" s="150"/>
      <c r="L521" s="150"/>
      <c r="M521" s="150"/>
      <c r="N521" s="150"/>
      <c r="O521" s="150"/>
      <c r="P521" s="150"/>
      <c r="Q521" s="150"/>
      <c r="R521" s="150"/>
      <c r="S521" s="150"/>
      <c r="T521" s="186"/>
      <c r="U521" s="186"/>
      <c r="V521" s="186"/>
      <c r="W521" s="186"/>
      <c r="X521" s="186"/>
      <c r="Y521" s="186"/>
      <c r="Z521" s="186"/>
      <c r="AA521" s="186"/>
      <c r="AB521" s="186"/>
      <c r="AC521" s="186"/>
      <c r="AD521" s="186"/>
      <c r="AF521" s="150"/>
      <c r="AG521" s="150"/>
      <c r="AH521" s="150"/>
      <c r="AI521" s="150"/>
      <c r="AJ521" s="150"/>
      <c r="AK521" s="150"/>
      <c r="AL521" s="150"/>
      <c r="AM521" s="150"/>
      <c r="AN521" s="150"/>
      <c r="AO521" s="150"/>
      <c r="AP521" s="150"/>
      <c r="AQ521" s="150"/>
      <c r="AT521" s="186"/>
      <c r="AU521" s="186"/>
      <c r="AV521" s="186"/>
      <c r="AW521" s="186"/>
      <c r="AX521" s="186"/>
      <c r="AY521" s="186"/>
      <c r="AZ521" s="186"/>
      <c r="BA521" s="186"/>
      <c r="BB521" s="186"/>
      <c r="BC521" s="186"/>
      <c r="BD521" s="186"/>
      <c r="BE521" s="186"/>
      <c r="BF521" s="150"/>
      <c r="BG521" s="150"/>
    </row>
    <row r="522" spans="3:59" ht="14.6">
      <c r="C522" s="289"/>
      <c r="D522" s="150"/>
      <c r="E522" s="150"/>
      <c r="F522" s="150"/>
      <c r="G522" s="150"/>
      <c r="H522" s="150"/>
      <c r="I522" s="150"/>
      <c r="J522" s="150"/>
      <c r="K522" s="150"/>
      <c r="L522" s="150"/>
      <c r="M522" s="150"/>
      <c r="N522" s="150"/>
      <c r="O522" s="150"/>
      <c r="P522" s="150"/>
      <c r="Q522" s="150"/>
      <c r="R522" s="150"/>
      <c r="S522" s="150"/>
      <c r="T522" s="186"/>
      <c r="U522" s="186"/>
      <c r="V522" s="186"/>
      <c r="W522" s="186"/>
      <c r="X522" s="186"/>
      <c r="Y522" s="186"/>
      <c r="Z522" s="186"/>
      <c r="AA522" s="186"/>
      <c r="AB522" s="186"/>
      <c r="AC522" s="186"/>
      <c r="AD522" s="186"/>
      <c r="AF522" s="150"/>
      <c r="AG522" s="150"/>
      <c r="AH522" s="150"/>
      <c r="AI522" s="150"/>
      <c r="AJ522" s="150"/>
      <c r="AK522" s="150"/>
      <c r="AL522" s="150"/>
      <c r="AM522" s="150"/>
      <c r="AN522" s="150"/>
      <c r="AO522" s="150"/>
      <c r="AP522" s="150"/>
      <c r="AQ522" s="150"/>
      <c r="AT522" s="186"/>
      <c r="AU522" s="186"/>
      <c r="AV522" s="186"/>
      <c r="AW522" s="186"/>
      <c r="AX522" s="186"/>
      <c r="AY522" s="186"/>
      <c r="AZ522" s="186"/>
      <c r="BA522" s="186"/>
      <c r="BB522" s="186"/>
      <c r="BC522" s="186"/>
      <c r="BD522" s="186"/>
      <c r="BE522" s="186"/>
      <c r="BF522" s="150"/>
      <c r="BG522" s="150"/>
    </row>
    <row r="523" spans="3:59" ht="14.6">
      <c r="C523" s="289"/>
      <c r="D523" s="150"/>
      <c r="E523" s="150"/>
      <c r="F523" s="150"/>
      <c r="G523" s="150"/>
      <c r="H523" s="150"/>
      <c r="I523" s="150"/>
      <c r="J523" s="150"/>
      <c r="K523" s="150"/>
      <c r="L523" s="150"/>
      <c r="M523" s="150"/>
      <c r="N523" s="150"/>
      <c r="O523" s="150"/>
      <c r="P523" s="150"/>
      <c r="Q523" s="150"/>
      <c r="R523" s="150"/>
      <c r="S523" s="150"/>
      <c r="T523" s="186"/>
      <c r="U523" s="186"/>
      <c r="V523" s="186"/>
      <c r="W523" s="186"/>
      <c r="X523" s="186"/>
      <c r="Y523" s="186"/>
      <c r="Z523" s="186"/>
      <c r="AA523" s="186"/>
      <c r="AB523" s="186"/>
      <c r="AC523" s="186"/>
      <c r="AD523" s="186"/>
      <c r="AF523" s="150"/>
      <c r="AG523" s="150"/>
      <c r="AH523" s="150"/>
      <c r="AI523" s="150"/>
      <c r="AJ523" s="150"/>
      <c r="AK523" s="150"/>
      <c r="AL523" s="150"/>
      <c r="AM523" s="150"/>
      <c r="AN523" s="150"/>
      <c r="AO523" s="150"/>
      <c r="AP523" s="150"/>
      <c r="AQ523" s="150"/>
      <c r="AT523" s="186"/>
      <c r="AU523" s="186"/>
      <c r="AV523" s="186"/>
      <c r="AW523" s="186"/>
      <c r="AX523" s="186"/>
      <c r="AY523" s="186"/>
      <c r="AZ523" s="186"/>
      <c r="BA523" s="186"/>
      <c r="BB523" s="186"/>
      <c r="BC523" s="186"/>
      <c r="BD523" s="186"/>
      <c r="BE523" s="186"/>
      <c r="BF523" s="150"/>
      <c r="BG523" s="150"/>
    </row>
    <row r="524" spans="3:59" ht="14.6">
      <c r="C524" s="289"/>
      <c r="D524" s="150"/>
      <c r="E524" s="150"/>
      <c r="F524" s="150"/>
      <c r="G524" s="150"/>
      <c r="H524" s="150"/>
      <c r="I524" s="150"/>
      <c r="J524" s="150"/>
      <c r="K524" s="150"/>
      <c r="L524" s="150"/>
      <c r="M524" s="150"/>
      <c r="N524" s="150"/>
      <c r="O524" s="150"/>
      <c r="P524" s="150"/>
      <c r="Q524" s="150"/>
      <c r="R524" s="150"/>
      <c r="S524" s="150"/>
      <c r="T524" s="186"/>
      <c r="U524" s="186"/>
      <c r="V524" s="186"/>
      <c r="W524" s="186"/>
      <c r="X524" s="186"/>
      <c r="Y524" s="186"/>
      <c r="Z524" s="186"/>
      <c r="AA524" s="186"/>
      <c r="AB524" s="186"/>
      <c r="AC524" s="186"/>
      <c r="AD524" s="186"/>
      <c r="AF524" s="150"/>
      <c r="AG524" s="150"/>
      <c r="AH524" s="150"/>
      <c r="AI524" s="150"/>
      <c r="AJ524" s="150"/>
      <c r="AK524" s="150"/>
      <c r="AL524" s="150"/>
      <c r="AM524" s="150"/>
      <c r="AN524" s="150"/>
      <c r="AO524" s="150"/>
      <c r="AP524" s="150"/>
      <c r="AQ524" s="150"/>
      <c r="AT524" s="186"/>
      <c r="AU524" s="186"/>
      <c r="AV524" s="186"/>
      <c r="AW524" s="186"/>
      <c r="AX524" s="186"/>
      <c r="AY524" s="186"/>
      <c r="AZ524" s="186"/>
      <c r="BA524" s="186"/>
      <c r="BB524" s="186"/>
      <c r="BC524" s="186"/>
      <c r="BD524" s="186"/>
      <c r="BE524" s="186"/>
      <c r="BF524" s="150"/>
      <c r="BG524" s="150"/>
    </row>
    <row r="525" spans="3:59" ht="14.6">
      <c r="C525" s="289"/>
      <c r="D525" s="150"/>
      <c r="E525" s="150"/>
      <c r="F525" s="150"/>
      <c r="G525" s="150"/>
      <c r="H525" s="150"/>
      <c r="I525" s="150"/>
      <c r="J525" s="150"/>
      <c r="K525" s="150"/>
      <c r="L525" s="150"/>
      <c r="M525" s="150"/>
      <c r="N525" s="150"/>
      <c r="O525" s="150"/>
      <c r="P525" s="150"/>
      <c r="Q525" s="150"/>
      <c r="R525" s="150"/>
      <c r="S525" s="150"/>
      <c r="T525" s="186"/>
      <c r="U525" s="186"/>
      <c r="V525" s="186"/>
      <c r="W525" s="186"/>
      <c r="X525" s="186"/>
      <c r="Y525" s="186"/>
      <c r="Z525" s="186"/>
      <c r="AA525" s="186"/>
      <c r="AB525" s="186"/>
      <c r="AC525" s="186"/>
      <c r="AD525" s="186"/>
      <c r="AF525" s="150"/>
      <c r="AG525" s="150"/>
      <c r="AH525" s="150"/>
      <c r="AI525" s="150"/>
      <c r="AJ525" s="150"/>
      <c r="AK525" s="150"/>
      <c r="AL525" s="150"/>
      <c r="AM525" s="150"/>
      <c r="AN525" s="150"/>
      <c r="AO525" s="150"/>
      <c r="AP525" s="150"/>
      <c r="AQ525" s="150"/>
      <c r="AT525" s="186"/>
      <c r="AU525" s="186"/>
      <c r="AV525" s="186"/>
      <c r="AW525" s="186"/>
      <c r="AX525" s="186"/>
      <c r="AY525" s="186"/>
      <c r="AZ525" s="186"/>
      <c r="BA525" s="186"/>
      <c r="BB525" s="186"/>
      <c r="BC525" s="186"/>
      <c r="BD525" s="186"/>
      <c r="BE525" s="186"/>
      <c r="BF525" s="150"/>
      <c r="BG525" s="150"/>
    </row>
    <row r="526" spans="3:59" ht="14.6">
      <c r="C526" s="289"/>
      <c r="D526" s="150"/>
      <c r="E526" s="150"/>
      <c r="F526" s="150"/>
      <c r="G526" s="150"/>
      <c r="H526" s="150"/>
      <c r="I526" s="150"/>
      <c r="J526" s="150"/>
      <c r="K526" s="150"/>
      <c r="L526" s="150"/>
      <c r="M526" s="150"/>
      <c r="N526" s="150"/>
      <c r="O526" s="150"/>
      <c r="P526" s="150"/>
      <c r="Q526" s="150"/>
      <c r="R526" s="150"/>
      <c r="S526" s="150"/>
      <c r="T526" s="186"/>
      <c r="U526" s="186"/>
      <c r="V526" s="186"/>
      <c r="W526" s="186"/>
      <c r="X526" s="186"/>
      <c r="Y526" s="186"/>
      <c r="Z526" s="186"/>
      <c r="AA526" s="186"/>
      <c r="AB526" s="186"/>
      <c r="AC526" s="186"/>
      <c r="AD526" s="186"/>
      <c r="AF526" s="150"/>
      <c r="AG526" s="150"/>
      <c r="AH526" s="150"/>
      <c r="AI526" s="150"/>
      <c r="AJ526" s="150"/>
      <c r="AK526" s="150"/>
      <c r="AL526" s="150"/>
      <c r="AM526" s="150"/>
      <c r="AN526" s="150"/>
      <c r="AO526" s="150"/>
      <c r="AP526" s="150"/>
      <c r="AQ526" s="150"/>
      <c r="AT526" s="186"/>
      <c r="AU526" s="186"/>
      <c r="AV526" s="186"/>
      <c r="AW526" s="186"/>
      <c r="AX526" s="186"/>
      <c r="AY526" s="186"/>
      <c r="AZ526" s="186"/>
      <c r="BA526" s="186"/>
      <c r="BB526" s="186"/>
      <c r="BC526" s="186"/>
      <c r="BD526" s="186"/>
      <c r="BE526" s="186"/>
      <c r="BF526" s="150"/>
      <c r="BG526" s="150"/>
    </row>
    <row r="527" spans="3:59" ht="14.6">
      <c r="C527" s="289"/>
      <c r="D527" s="150"/>
      <c r="E527" s="150"/>
      <c r="F527" s="150"/>
      <c r="G527" s="150"/>
      <c r="H527" s="150"/>
      <c r="I527" s="150"/>
      <c r="J527" s="150"/>
      <c r="K527" s="150"/>
      <c r="L527" s="150"/>
      <c r="M527" s="150"/>
      <c r="N527" s="150"/>
      <c r="O527" s="150"/>
      <c r="P527" s="150"/>
      <c r="Q527" s="150"/>
      <c r="R527" s="150"/>
      <c r="S527" s="150"/>
      <c r="T527" s="186"/>
      <c r="U527" s="186"/>
      <c r="V527" s="186"/>
      <c r="W527" s="186"/>
      <c r="X527" s="186"/>
      <c r="Y527" s="186"/>
      <c r="Z527" s="186"/>
      <c r="AA527" s="186"/>
      <c r="AB527" s="186"/>
      <c r="AC527" s="186"/>
      <c r="AD527" s="186"/>
      <c r="AF527" s="150"/>
      <c r="AG527" s="150"/>
      <c r="AH527" s="150"/>
      <c r="AI527" s="150"/>
      <c r="AJ527" s="150"/>
      <c r="AK527" s="150"/>
      <c r="AL527" s="150"/>
      <c r="AM527" s="150"/>
      <c r="AN527" s="150"/>
      <c r="AO527" s="150"/>
      <c r="AP527" s="150"/>
      <c r="AQ527" s="150"/>
      <c r="AT527" s="186"/>
      <c r="AU527" s="186"/>
      <c r="AV527" s="186"/>
      <c r="AW527" s="186"/>
      <c r="AX527" s="186"/>
      <c r="AY527" s="186"/>
      <c r="AZ527" s="186"/>
      <c r="BA527" s="186"/>
      <c r="BB527" s="186"/>
      <c r="BC527" s="186"/>
      <c r="BD527" s="186"/>
      <c r="BE527" s="186"/>
      <c r="BF527" s="150"/>
      <c r="BG527" s="150"/>
    </row>
    <row r="528" spans="3:59" ht="14.6">
      <c r="C528" s="289"/>
      <c r="D528" s="150"/>
      <c r="E528" s="150"/>
      <c r="F528" s="150"/>
      <c r="G528" s="150"/>
      <c r="H528" s="150"/>
      <c r="I528" s="150"/>
      <c r="J528" s="150"/>
      <c r="K528" s="150"/>
      <c r="L528" s="150"/>
      <c r="M528" s="150"/>
      <c r="N528" s="150"/>
      <c r="O528" s="150"/>
      <c r="P528" s="150"/>
      <c r="Q528" s="150"/>
      <c r="R528" s="150"/>
      <c r="S528" s="150"/>
      <c r="T528" s="186"/>
      <c r="U528" s="186"/>
      <c r="V528" s="186"/>
      <c r="W528" s="186"/>
      <c r="X528" s="186"/>
      <c r="Y528" s="186"/>
      <c r="Z528" s="186"/>
      <c r="AA528" s="186"/>
      <c r="AB528" s="186"/>
      <c r="AC528" s="186"/>
      <c r="AD528" s="186"/>
      <c r="AF528" s="150"/>
      <c r="AG528" s="150"/>
      <c r="AH528" s="150"/>
      <c r="AI528" s="150"/>
      <c r="AJ528" s="150"/>
      <c r="AK528" s="150"/>
      <c r="AL528" s="150"/>
      <c r="AM528" s="150"/>
      <c r="AN528" s="150"/>
      <c r="AO528" s="150"/>
      <c r="AP528" s="150"/>
      <c r="AQ528" s="150"/>
      <c r="AT528" s="186"/>
      <c r="AU528" s="186"/>
      <c r="AV528" s="186"/>
      <c r="AW528" s="186"/>
      <c r="AX528" s="186"/>
      <c r="AY528" s="186"/>
      <c r="AZ528" s="186"/>
      <c r="BA528" s="186"/>
      <c r="BB528" s="186"/>
      <c r="BC528" s="186"/>
      <c r="BD528" s="186"/>
      <c r="BE528" s="186"/>
      <c r="BF528" s="150"/>
      <c r="BG528" s="150"/>
    </row>
    <row r="529" spans="3:59" ht="14.6">
      <c r="C529" s="289"/>
      <c r="D529" s="150"/>
      <c r="E529" s="150"/>
      <c r="F529" s="150"/>
      <c r="G529" s="150"/>
      <c r="H529" s="150"/>
      <c r="I529" s="150"/>
      <c r="J529" s="150"/>
      <c r="K529" s="150"/>
      <c r="L529" s="150"/>
      <c r="M529" s="150"/>
      <c r="N529" s="150"/>
      <c r="O529" s="150"/>
      <c r="P529" s="150"/>
      <c r="Q529" s="150"/>
      <c r="R529" s="150"/>
      <c r="S529" s="150"/>
      <c r="T529" s="186"/>
      <c r="U529" s="186"/>
      <c r="V529" s="186"/>
      <c r="W529" s="186"/>
      <c r="X529" s="186"/>
      <c r="Y529" s="186"/>
      <c r="Z529" s="186"/>
      <c r="AA529" s="186"/>
      <c r="AB529" s="186"/>
      <c r="AC529" s="186"/>
      <c r="AD529" s="186"/>
      <c r="AF529" s="150"/>
      <c r="AG529" s="150"/>
      <c r="AH529" s="150"/>
      <c r="AI529" s="150"/>
      <c r="AJ529" s="150"/>
      <c r="AK529" s="150"/>
      <c r="AL529" s="150"/>
      <c r="AM529" s="150"/>
      <c r="AN529" s="150"/>
      <c r="AO529" s="150"/>
      <c r="AP529" s="150"/>
      <c r="AQ529" s="150"/>
      <c r="AT529" s="186"/>
      <c r="AU529" s="186"/>
      <c r="AV529" s="186"/>
      <c r="AW529" s="186"/>
      <c r="AX529" s="186"/>
      <c r="AY529" s="186"/>
      <c r="AZ529" s="186"/>
      <c r="BA529" s="186"/>
      <c r="BB529" s="186"/>
      <c r="BC529" s="186"/>
      <c r="BD529" s="186"/>
      <c r="BE529" s="186"/>
      <c r="BF529" s="150"/>
      <c r="BG529" s="150"/>
    </row>
    <row r="530" spans="3:59" ht="14.6">
      <c r="C530" s="289"/>
      <c r="D530" s="150"/>
      <c r="E530" s="150"/>
      <c r="F530" s="150"/>
      <c r="G530" s="150"/>
      <c r="H530" s="150"/>
      <c r="I530" s="150"/>
      <c r="J530" s="150"/>
      <c r="K530" s="150"/>
      <c r="L530" s="150"/>
      <c r="M530" s="150"/>
      <c r="N530" s="150"/>
      <c r="O530" s="150"/>
      <c r="P530" s="150"/>
      <c r="Q530" s="150"/>
      <c r="R530" s="150"/>
      <c r="S530" s="150"/>
      <c r="T530" s="186"/>
      <c r="U530" s="186"/>
      <c r="V530" s="186"/>
      <c r="W530" s="186"/>
      <c r="X530" s="186"/>
      <c r="Y530" s="186"/>
      <c r="Z530" s="186"/>
      <c r="AA530" s="186"/>
      <c r="AB530" s="186"/>
      <c r="AC530" s="186"/>
      <c r="AD530" s="186"/>
      <c r="AF530" s="150"/>
      <c r="AG530" s="150"/>
      <c r="AH530" s="150"/>
      <c r="AI530" s="150"/>
      <c r="AJ530" s="150"/>
      <c r="AK530" s="150"/>
      <c r="AL530" s="150"/>
      <c r="AM530" s="150"/>
      <c r="AN530" s="150"/>
      <c r="AO530" s="150"/>
      <c r="AP530" s="150"/>
      <c r="AQ530" s="150"/>
      <c r="AT530" s="186"/>
      <c r="AU530" s="186"/>
      <c r="AV530" s="186"/>
      <c r="AW530" s="186"/>
      <c r="AX530" s="186"/>
      <c r="AY530" s="186"/>
      <c r="AZ530" s="186"/>
      <c r="BA530" s="186"/>
      <c r="BB530" s="186"/>
      <c r="BC530" s="186"/>
      <c r="BD530" s="186"/>
      <c r="BE530" s="186"/>
      <c r="BF530" s="150"/>
      <c r="BG530" s="150"/>
    </row>
    <row r="531" spans="3:59" ht="14.6">
      <c r="C531" s="289"/>
      <c r="D531" s="150"/>
      <c r="E531" s="150"/>
      <c r="F531" s="150"/>
      <c r="G531" s="150"/>
      <c r="H531" s="150"/>
      <c r="I531" s="150"/>
      <c r="J531" s="150"/>
      <c r="K531" s="150"/>
      <c r="L531" s="150"/>
      <c r="M531" s="150"/>
      <c r="N531" s="150"/>
      <c r="O531" s="150"/>
      <c r="P531" s="150"/>
      <c r="Q531" s="150"/>
      <c r="R531" s="150"/>
      <c r="S531" s="150"/>
      <c r="T531" s="186"/>
      <c r="U531" s="186"/>
      <c r="V531" s="186"/>
      <c r="W531" s="186"/>
      <c r="X531" s="186"/>
      <c r="Y531" s="186"/>
      <c r="Z531" s="186"/>
      <c r="AA531" s="186"/>
      <c r="AB531" s="186"/>
      <c r="AC531" s="186"/>
      <c r="AD531" s="186"/>
      <c r="AF531" s="150"/>
      <c r="AG531" s="150"/>
      <c r="AH531" s="150"/>
      <c r="AI531" s="150"/>
      <c r="AJ531" s="150"/>
      <c r="AK531" s="150"/>
      <c r="AL531" s="150"/>
      <c r="AM531" s="150"/>
      <c r="AN531" s="150"/>
      <c r="AO531" s="150"/>
      <c r="AP531" s="150"/>
      <c r="AQ531" s="150"/>
      <c r="AT531" s="186"/>
      <c r="AU531" s="186"/>
      <c r="AV531" s="186"/>
      <c r="AW531" s="186"/>
      <c r="AX531" s="186"/>
      <c r="AY531" s="186"/>
      <c r="AZ531" s="186"/>
      <c r="BA531" s="186"/>
      <c r="BB531" s="186"/>
      <c r="BC531" s="186"/>
      <c r="BD531" s="186"/>
      <c r="BE531" s="186"/>
      <c r="BF531" s="150"/>
      <c r="BG531" s="150"/>
    </row>
    <row r="532" spans="3:59" ht="14.6">
      <c r="C532" s="289"/>
      <c r="D532" s="150"/>
      <c r="E532" s="150"/>
      <c r="F532" s="150"/>
      <c r="G532" s="150"/>
      <c r="H532" s="150"/>
      <c r="I532" s="150"/>
      <c r="J532" s="150"/>
      <c r="K532" s="150"/>
      <c r="L532" s="150"/>
      <c r="M532" s="150"/>
      <c r="N532" s="150"/>
      <c r="O532" s="150"/>
      <c r="P532" s="150"/>
      <c r="Q532" s="150"/>
      <c r="R532" s="150"/>
      <c r="S532" s="150"/>
      <c r="T532" s="186"/>
      <c r="U532" s="186"/>
      <c r="V532" s="186"/>
      <c r="W532" s="186"/>
      <c r="X532" s="186"/>
      <c r="Y532" s="186"/>
      <c r="Z532" s="186"/>
      <c r="AA532" s="186"/>
      <c r="AB532" s="186"/>
      <c r="AC532" s="186"/>
      <c r="AD532" s="186"/>
      <c r="AF532" s="150"/>
      <c r="AG532" s="150"/>
      <c r="AH532" s="150"/>
      <c r="AI532" s="150"/>
      <c r="AJ532" s="150"/>
      <c r="AK532" s="150"/>
      <c r="AL532" s="150"/>
      <c r="AM532" s="150"/>
      <c r="AN532" s="150"/>
      <c r="AO532" s="150"/>
      <c r="AP532" s="150"/>
      <c r="AQ532" s="150"/>
      <c r="AT532" s="186"/>
      <c r="AU532" s="186"/>
      <c r="AV532" s="186"/>
      <c r="AW532" s="186"/>
      <c r="AX532" s="186"/>
      <c r="AY532" s="186"/>
      <c r="AZ532" s="186"/>
      <c r="BA532" s="186"/>
      <c r="BB532" s="186"/>
      <c r="BC532" s="186"/>
      <c r="BD532" s="186"/>
      <c r="BE532" s="186"/>
      <c r="BF532" s="150"/>
      <c r="BG532" s="150"/>
    </row>
    <row r="533" spans="3:59" ht="14.6">
      <c r="C533" s="289"/>
      <c r="D533" s="150"/>
      <c r="E533" s="150"/>
      <c r="F533" s="150"/>
      <c r="G533" s="150"/>
      <c r="H533" s="150"/>
      <c r="I533" s="150"/>
      <c r="J533" s="150"/>
      <c r="K533" s="150"/>
      <c r="L533" s="150"/>
      <c r="M533" s="150"/>
      <c r="N533" s="150"/>
      <c r="O533" s="150"/>
      <c r="P533" s="150"/>
      <c r="Q533" s="150"/>
      <c r="R533" s="150"/>
      <c r="S533" s="150"/>
      <c r="T533" s="186"/>
      <c r="U533" s="186"/>
      <c r="V533" s="186"/>
      <c r="W533" s="186"/>
      <c r="X533" s="186"/>
      <c r="Y533" s="186"/>
      <c r="Z533" s="186"/>
      <c r="AA533" s="186"/>
      <c r="AB533" s="186"/>
      <c r="AC533" s="186"/>
      <c r="AD533" s="186"/>
      <c r="AF533" s="150"/>
      <c r="AG533" s="150"/>
      <c r="AH533" s="150"/>
      <c r="AI533" s="150"/>
      <c r="AJ533" s="150"/>
      <c r="AK533" s="150"/>
      <c r="AL533" s="150"/>
      <c r="AM533" s="150"/>
      <c r="AN533" s="150"/>
      <c r="AO533" s="150"/>
      <c r="AP533" s="150"/>
      <c r="AQ533" s="150"/>
      <c r="AT533" s="186"/>
      <c r="AU533" s="186"/>
      <c r="AV533" s="186"/>
      <c r="AW533" s="186"/>
      <c r="AX533" s="186"/>
      <c r="AY533" s="186"/>
      <c r="AZ533" s="186"/>
      <c r="BA533" s="186"/>
      <c r="BB533" s="186"/>
      <c r="BC533" s="186"/>
      <c r="BD533" s="186"/>
      <c r="BE533" s="186"/>
      <c r="BF533" s="150"/>
      <c r="BG533" s="150"/>
    </row>
    <row r="534" spans="3:59" ht="14.6">
      <c r="C534" s="289"/>
      <c r="D534" s="150"/>
      <c r="E534" s="150"/>
      <c r="F534" s="150"/>
      <c r="G534" s="150"/>
      <c r="H534" s="150"/>
      <c r="I534" s="150"/>
      <c r="J534" s="150"/>
      <c r="K534" s="150"/>
      <c r="L534" s="150"/>
      <c r="M534" s="150"/>
      <c r="N534" s="150"/>
      <c r="O534" s="150"/>
      <c r="P534" s="150"/>
      <c r="Q534" s="150"/>
      <c r="R534" s="150"/>
      <c r="S534" s="150"/>
      <c r="T534" s="186"/>
      <c r="U534" s="186"/>
      <c r="V534" s="186"/>
      <c r="W534" s="186"/>
      <c r="X534" s="186"/>
      <c r="Y534" s="186"/>
      <c r="Z534" s="186"/>
      <c r="AA534" s="186"/>
      <c r="AB534" s="186"/>
      <c r="AC534" s="186"/>
      <c r="AD534" s="186"/>
      <c r="AF534" s="150"/>
      <c r="AG534" s="150"/>
      <c r="AH534" s="150"/>
      <c r="AI534" s="150"/>
      <c r="AJ534" s="150"/>
      <c r="AK534" s="150"/>
      <c r="AL534" s="150"/>
      <c r="AM534" s="150"/>
      <c r="AN534" s="150"/>
      <c r="AO534" s="150"/>
      <c r="AP534" s="150"/>
      <c r="AQ534" s="150"/>
      <c r="AT534" s="186"/>
      <c r="AU534" s="186"/>
      <c r="AV534" s="186"/>
      <c r="AW534" s="186"/>
      <c r="AX534" s="186"/>
      <c r="AY534" s="186"/>
      <c r="AZ534" s="186"/>
      <c r="BA534" s="186"/>
      <c r="BB534" s="186"/>
      <c r="BC534" s="186"/>
      <c r="BD534" s="186"/>
      <c r="BE534" s="186"/>
      <c r="BF534" s="150"/>
      <c r="BG534" s="150"/>
    </row>
    <row r="535" spans="3:59" ht="14.6">
      <c r="C535" s="289"/>
      <c r="D535" s="150"/>
      <c r="E535" s="150"/>
      <c r="F535" s="150"/>
      <c r="G535" s="150"/>
      <c r="H535" s="150"/>
      <c r="I535" s="150"/>
      <c r="J535" s="150"/>
      <c r="K535" s="150"/>
      <c r="L535" s="150"/>
      <c r="M535" s="150"/>
      <c r="N535" s="150"/>
      <c r="O535" s="150"/>
      <c r="P535" s="150"/>
      <c r="Q535" s="150"/>
      <c r="R535" s="150"/>
      <c r="S535" s="150"/>
      <c r="T535" s="186"/>
      <c r="U535" s="186"/>
      <c r="V535" s="186"/>
      <c r="W535" s="186"/>
      <c r="X535" s="186"/>
      <c r="Y535" s="186"/>
      <c r="Z535" s="186"/>
      <c r="AA535" s="186"/>
      <c r="AB535" s="186"/>
      <c r="AC535" s="186"/>
      <c r="AD535" s="186"/>
      <c r="AF535" s="150"/>
      <c r="AG535" s="150"/>
      <c r="AH535" s="150"/>
      <c r="AI535" s="150"/>
      <c r="AJ535" s="150"/>
      <c r="AK535" s="150"/>
      <c r="AL535" s="150"/>
      <c r="AM535" s="150"/>
      <c r="AN535" s="150"/>
      <c r="AO535" s="150"/>
      <c r="AP535" s="150"/>
      <c r="AQ535" s="150"/>
      <c r="AT535" s="186"/>
      <c r="AU535" s="186"/>
      <c r="AV535" s="186"/>
      <c r="AW535" s="186"/>
      <c r="AX535" s="186"/>
      <c r="AY535" s="186"/>
      <c r="AZ535" s="186"/>
      <c r="BA535" s="186"/>
      <c r="BB535" s="186"/>
      <c r="BC535" s="186"/>
      <c r="BD535" s="186"/>
      <c r="BE535" s="186"/>
      <c r="BF535" s="150"/>
      <c r="BG535" s="150"/>
    </row>
    <row r="536" spans="3:59" ht="14.6">
      <c r="C536" s="289"/>
      <c r="D536" s="150"/>
      <c r="E536" s="150"/>
      <c r="F536" s="150"/>
      <c r="G536" s="150"/>
      <c r="H536" s="150"/>
      <c r="I536" s="150"/>
      <c r="J536" s="150"/>
      <c r="K536" s="150"/>
      <c r="L536" s="150"/>
      <c r="M536" s="150"/>
      <c r="N536" s="150"/>
      <c r="O536" s="150"/>
      <c r="P536" s="150"/>
      <c r="Q536" s="150"/>
      <c r="R536" s="150"/>
      <c r="S536" s="150"/>
      <c r="T536" s="186"/>
      <c r="U536" s="186"/>
      <c r="V536" s="186"/>
      <c r="W536" s="186"/>
      <c r="X536" s="186"/>
      <c r="Y536" s="186"/>
      <c r="Z536" s="186"/>
      <c r="AA536" s="186"/>
      <c r="AB536" s="186"/>
      <c r="AC536" s="186"/>
      <c r="AD536" s="186"/>
      <c r="AF536" s="150"/>
      <c r="AG536" s="150"/>
      <c r="AH536" s="150"/>
      <c r="AI536" s="150"/>
      <c r="AJ536" s="150"/>
      <c r="AK536" s="150"/>
      <c r="AL536" s="150"/>
      <c r="AM536" s="150"/>
      <c r="AN536" s="150"/>
      <c r="AO536" s="150"/>
      <c r="AP536" s="150"/>
      <c r="AQ536" s="150"/>
      <c r="AT536" s="186"/>
      <c r="AU536" s="186"/>
      <c r="AV536" s="186"/>
      <c r="AW536" s="186"/>
      <c r="AX536" s="186"/>
      <c r="AY536" s="186"/>
      <c r="AZ536" s="186"/>
      <c r="BA536" s="186"/>
      <c r="BB536" s="186"/>
      <c r="BC536" s="186"/>
      <c r="BD536" s="186"/>
      <c r="BE536" s="186"/>
      <c r="BF536" s="150"/>
      <c r="BG536" s="150"/>
    </row>
    <row r="537" spans="3:59" ht="14.6">
      <c r="C537" s="289"/>
      <c r="D537" s="150"/>
      <c r="E537" s="150"/>
      <c r="F537" s="150"/>
      <c r="G537" s="150"/>
      <c r="H537" s="150"/>
      <c r="I537" s="150"/>
      <c r="J537" s="150"/>
      <c r="K537" s="150"/>
      <c r="L537" s="150"/>
      <c r="M537" s="150"/>
      <c r="N537" s="150"/>
      <c r="O537" s="150"/>
      <c r="P537" s="150"/>
      <c r="Q537" s="150"/>
      <c r="R537" s="150"/>
      <c r="S537" s="150"/>
      <c r="T537" s="186"/>
      <c r="U537" s="186"/>
      <c r="V537" s="186"/>
      <c r="W537" s="186"/>
      <c r="X537" s="186"/>
      <c r="Y537" s="186"/>
      <c r="Z537" s="186"/>
      <c r="AA537" s="186"/>
      <c r="AB537" s="186"/>
      <c r="AC537" s="186"/>
      <c r="AD537" s="186"/>
      <c r="AF537" s="150"/>
      <c r="AG537" s="150"/>
      <c r="AH537" s="150"/>
      <c r="AI537" s="150"/>
      <c r="AJ537" s="150"/>
      <c r="AK537" s="150"/>
      <c r="AL537" s="150"/>
      <c r="AM537" s="150"/>
      <c r="AN537" s="150"/>
      <c r="AO537" s="150"/>
      <c r="AP537" s="150"/>
      <c r="AQ537" s="150"/>
      <c r="AT537" s="186"/>
      <c r="AU537" s="186"/>
      <c r="AV537" s="186"/>
      <c r="AW537" s="186"/>
      <c r="AX537" s="186"/>
      <c r="AY537" s="186"/>
      <c r="AZ537" s="186"/>
      <c r="BA537" s="186"/>
      <c r="BB537" s="186"/>
      <c r="BC537" s="186"/>
      <c r="BD537" s="186"/>
      <c r="BE537" s="186"/>
      <c r="BF537" s="150"/>
      <c r="BG537" s="150"/>
    </row>
    <row r="538" spans="3:59" ht="14.6">
      <c r="C538" s="289"/>
      <c r="D538" s="150"/>
      <c r="E538" s="150"/>
      <c r="F538" s="150"/>
      <c r="G538" s="150"/>
      <c r="H538" s="150"/>
      <c r="I538" s="150"/>
      <c r="J538" s="150"/>
      <c r="K538" s="150"/>
      <c r="L538" s="150"/>
      <c r="M538" s="150"/>
      <c r="N538" s="150"/>
      <c r="O538" s="150"/>
      <c r="P538" s="150"/>
      <c r="Q538" s="150"/>
      <c r="R538" s="150"/>
      <c r="S538" s="150"/>
      <c r="T538" s="186"/>
      <c r="U538" s="186"/>
      <c r="V538" s="186"/>
      <c r="W538" s="186"/>
      <c r="X538" s="186"/>
      <c r="Y538" s="186"/>
      <c r="Z538" s="186"/>
      <c r="AA538" s="186"/>
      <c r="AB538" s="186"/>
      <c r="AC538" s="186"/>
      <c r="AD538" s="186"/>
      <c r="AF538" s="150"/>
      <c r="AG538" s="150"/>
      <c r="AH538" s="150"/>
      <c r="AI538" s="150"/>
      <c r="AJ538" s="150"/>
      <c r="AK538" s="150"/>
      <c r="AL538" s="150"/>
      <c r="AM538" s="150"/>
      <c r="AN538" s="150"/>
      <c r="AO538" s="150"/>
      <c r="AP538" s="150"/>
      <c r="AQ538" s="150"/>
      <c r="AT538" s="186"/>
      <c r="AU538" s="186"/>
      <c r="AV538" s="186"/>
      <c r="AW538" s="186"/>
      <c r="AX538" s="186"/>
      <c r="AY538" s="186"/>
      <c r="AZ538" s="186"/>
      <c r="BA538" s="186"/>
      <c r="BB538" s="186"/>
      <c r="BC538" s="186"/>
      <c r="BD538" s="186"/>
      <c r="BE538" s="186"/>
      <c r="BF538" s="150"/>
      <c r="BG538" s="150"/>
    </row>
    <row r="539" spans="3:59" ht="14.6">
      <c r="C539" s="289"/>
      <c r="D539" s="150"/>
      <c r="E539" s="150"/>
      <c r="F539" s="150"/>
      <c r="G539" s="150"/>
      <c r="H539" s="150"/>
      <c r="I539" s="150"/>
      <c r="J539" s="150"/>
      <c r="K539" s="150"/>
      <c r="L539" s="150"/>
      <c r="M539" s="150"/>
      <c r="N539" s="150"/>
      <c r="O539" s="150"/>
      <c r="P539" s="150"/>
      <c r="Q539" s="150"/>
      <c r="R539" s="150"/>
      <c r="S539" s="150"/>
      <c r="T539" s="186"/>
      <c r="U539" s="186"/>
      <c r="V539" s="186"/>
      <c r="W539" s="186"/>
      <c r="X539" s="186"/>
      <c r="Y539" s="186"/>
      <c r="Z539" s="186"/>
      <c r="AA539" s="186"/>
      <c r="AB539" s="186"/>
      <c r="AC539" s="186"/>
      <c r="AD539" s="186"/>
      <c r="AF539" s="150"/>
      <c r="AG539" s="150"/>
      <c r="AH539" s="150"/>
      <c r="AI539" s="150"/>
      <c r="AJ539" s="150"/>
      <c r="AK539" s="150"/>
      <c r="AL539" s="150"/>
      <c r="AM539" s="150"/>
      <c r="AN539" s="150"/>
      <c r="AO539" s="150"/>
      <c r="AP539" s="150"/>
      <c r="AQ539" s="150"/>
      <c r="AT539" s="186"/>
      <c r="AU539" s="186"/>
      <c r="AV539" s="186"/>
      <c r="AW539" s="186"/>
      <c r="AX539" s="186"/>
      <c r="AY539" s="186"/>
      <c r="AZ539" s="186"/>
      <c r="BA539" s="186"/>
      <c r="BB539" s="186"/>
      <c r="BC539" s="186"/>
      <c r="BD539" s="186"/>
      <c r="BE539" s="186"/>
      <c r="BF539" s="150"/>
      <c r="BG539" s="150"/>
    </row>
    <row r="540" spans="3:59" ht="14.6">
      <c r="C540" s="289"/>
      <c r="D540" s="150"/>
      <c r="E540" s="150"/>
      <c r="F540" s="150"/>
      <c r="G540" s="150"/>
      <c r="H540" s="150"/>
      <c r="I540" s="150"/>
      <c r="J540" s="150"/>
      <c r="K540" s="150"/>
      <c r="L540" s="150"/>
      <c r="M540" s="150"/>
      <c r="N540" s="150"/>
      <c r="O540" s="150"/>
      <c r="P540" s="150"/>
      <c r="Q540" s="150"/>
      <c r="R540" s="150"/>
      <c r="S540" s="150"/>
      <c r="T540" s="186"/>
      <c r="U540" s="186"/>
      <c r="V540" s="186"/>
      <c r="W540" s="186"/>
      <c r="X540" s="186"/>
      <c r="Y540" s="186"/>
      <c r="Z540" s="186"/>
      <c r="AA540" s="186"/>
      <c r="AB540" s="186"/>
      <c r="AC540" s="186"/>
      <c r="AD540" s="186"/>
      <c r="AF540" s="150"/>
      <c r="AG540" s="150"/>
      <c r="AH540" s="150"/>
      <c r="AI540" s="150"/>
      <c r="AJ540" s="150"/>
      <c r="AK540" s="150"/>
      <c r="AL540" s="150"/>
      <c r="AM540" s="150"/>
      <c r="AN540" s="150"/>
      <c r="AO540" s="150"/>
      <c r="AP540" s="150"/>
      <c r="AQ540" s="150"/>
      <c r="AT540" s="186"/>
      <c r="AU540" s="186"/>
      <c r="AV540" s="186"/>
      <c r="AW540" s="186"/>
      <c r="AX540" s="186"/>
      <c r="AY540" s="186"/>
      <c r="AZ540" s="186"/>
      <c r="BA540" s="186"/>
      <c r="BB540" s="186"/>
      <c r="BC540" s="186"/>
      <c r="BD540" s="186"/>
      <c r="BE540" s="186"/>
      <c r="BF540" s="150"/>
      <c r="BG540" s="150"/>
    </row>
    <row r="541" spans="3:59" ht="14.6">
      <c r="C541" s="289"/>
      <c r="D541" s="150"/>
      <c r="E541" s="150"/>
      <c r="F541" s="150"/>
      <c r="G541" s="150"/>
      <c r="H541" s="150"/>
      <c r="I541" s="150"/>
      <c r="J541" s="150"/>
      <c r="K541" s="150"/>
      <c r="L541" s="150"/>
      <c r="M541" s="150"/>
      <c r="N541" s="150"/>
      <c r="O541" s="150"/>
      <c r="P541" s="150"/>
      <c r="Q541" s="150"/>
      <c r="R541" s="150"/>
      <c r="S541" s="150"/>
      <c r="T541" s="186"/>
      <c r="U541" s="186"/>
      <c r="V541" s="186"/>
      <c r="W541" s="186"/>
      <c r="X541" s="186"/>
      <c r="Y541" s="186"/>
      <c r="Z541" s="186"/>
      <c r="AA541" s="186"/>
      <c r="AB541" s="186"/>
      <c r="AC541" s="186"/>
      <c r="AD541" s="186"/>
      <c r="AF541" s="150"/>
      <c r="AG541" s="150"/>
      <c r="AH541" s="150"/>
      <c r="AI541" s="150"/>
      <c r="AJ541" s="150"/>
      <c r="AK541" s="150"/>
      <c r="AL541" s="150"/>
      <c r="AM541" s="150"/>
      <c r="AN541" s="150"/>
      <c r="AO541" s="150"/>
      <c r="AP541" s="150"/>
      <c r="AQ541" s="150"/>
      <c r="AT541" s="186"/>
      <c r="AU541" s="186"/>
      <c r="AV541" s="186"/>
      <c r="AW541" s="186"/>
      <c r="AX541" s="186"/>
      <c r="AY541" s="186"/>
      <c r="AZ541" s="186"/>
      <c r="BA541" s="186"/>
      <c r="BB541" s="186"/>
      <c r="BC541" s="186"/>
      <c r="BD541" s="186"/>
      <c r="BE541" s="186"/>
      <c r="BF541" s="150"/>
      <c r="BG541" s="150"/>
    </row>
    <row r="542" spans="3:59" ht="14.6">
      <c r="C542" s="289"/>
      <c r="D542" s="150"/>
      <c r="E542" s="150"/>
      <c r="F542" s="150"/>
      <c r="G542" s="150"/>
      <c r="H542" s="150"/>
      <c r="I542" s="150"/>
      <c r="J542" s="150"/>
      <c r="K542" s="150"/>
      <c r="L542" s="150"/>
      <c r="M542" s="150"/>
      <c r="N542" s="150"/>
      <c r="O542" s="150"/>
      <c r="P542" s="150"/>
      <c r="Q542" s="150"/>
      <c r="R542" s="150"/>
      <c r="S542" s="150"/>
      <c r="T542" s="186"/>
      <c r="U542" s="186"/>
      <c r="V542" s="186"/>
      <c r="W542" s="186"/>
      <c r="X542" s="186"/>
      <c r="Y542" s="186"/>
      <c r="Z542" s="186"/>
      <c r="AA542" s="186"/>
      <c r="AB542" s="186"/>
      <c r="AC542" s="186"/>
      <c r="AD542" s="186"/>
      <c r="AF542" s="150"/>
      <c r="AG542" s="150"/>
      <c r="AH542" s="150"/>
      <c r="AI542" s="150"/>
      <c r="AJ542" s="150"/>
      <c r="AK542" s="150"/>
      <c r="AL542" s="150"/>
      <c r="AM542" s="150"/>
      <c r="AN542" s="150"/>
      <c r="AO542" s="150"/>
      <c r="AP542" s="150"/>
      <c r="AQ542" s="150"/>
      <c r="AT542" s="186"/>
      <c r="AU542" s="186"/>
      <c r="AV542" s="186"/>
      <c r="AW542" s="186"/>
      <c r="AX542" s="186"/>
      <c r="AY542" s="186"/>
      <c r="AZ542" s="186"/>
      <c r="BA542" s="186"/>
      <c r="BB542" s="186"/>
      <c r="BC542" s="186"/>
      <c r="BD542" s="186"/>
      <c r="BE542" s="186"/>
      <c r="BF542" s="150"/>
      <c r="BG542" s="150"/>
    </row>
    <row r="543" spans="3:59" ht="14.6">
      <c r="C543" s="289"/>
      <c r="D543" s="150"/>
      <c r="E543" s="150"/>
      <c r="F543" s="150"/>
      <c r="G543" s="150"/>
      <c r="H543" s="150"/>
      <c r="I543" s="150"/>
      <c r="J543" s="150"/>
      <c r="K543" s="150"/>
      <c r="L543" s="150"/>
      <c r="M543" s="150"/>
      <c r="N543" s="150"/>
      <c r="O543" s="150"/>
      <c r="P543" s="150"/>
      <c r="Q543" s="150"/>
      <c r="R543" s="150"/>
      <c r="S543" s="150"/>
      <c r="T543" s="186"/>
      <c r="U543" s="186"/>
      <c r="V543" s="186"/>
      <c r="W543" s="186"/>
      <c r="X543" s="186"/>
      <c r="Y543" s="186"/>
      <c r="Z543" s="186"/>
      <c r="AA543" s="186"/>
      <c r="AB543" s="186"/>
      <c r="AC543" s="186"/>
      <c r="AD543" s="186"/>
      <c r="AF543" s="150"/>
      <c r="AG543" s="150"/>
      <c r="AH543" s="150"/>
      <c r="AI543" s="150"/>
      <c r="AJ543" s="150"/>
      <c r="AK543" s="150"/>
      <c r="AL543" s="150"/>
      <c r="AM543" s="150"/>
      <c r="AN543" s="150"/>
      <c r="AO543" s="150"/>
      <c r="AP543" s="150"/>
      <c r="AQ543" s="150"/>
      <c r="AT543" s="186"/>
      <c r="AU543" s="186"/>
      <c r="AV543" s="186"/>
      <c r="AW543" s="186"/>
      <c r="AX543" s="186"/>
      <c r="AY543" s="186"/>
      <c r="AZ543" s="186"/>
      <c r="BA543" s="186"/>
      <c r="BB543" s="186"/>
      <c r="BC543" s="186"/>
      <c r="BD543" s="186"/>
      <c r="BE543" s="186"/>
      <c r="BF543" s="150"/>
      <c r="BG543" s="150"/>
    </row>
    <row r="544" spans="3:59" ht="14.6">
      <c r="C544" s="289"/>
      <c r="D544" s="150"/>
      <c r="E544" s="150"/>
      <c r="F544" s="150"/>
      <c r="G544" s="150"/>
      <c r="H544" s="150"/>
      <c r="I544" s="150"/>
      <c r="J544" s="150"/>
      <c r="K544" s="150"/>
      <c r="L544" s="150"/>
      <c r="M544" s="150"/>
      <c r="N544" s="150"/>
      <c r="O544" s="150"/>
      <c r="P544" s="150"/>
      <c r="Q544" s="150"/>
      <c r="R544" s="150"/>
      <c r="S544" s="150"/>
      <c r="T544" s="186"/>
      <c r="U544" s="186"/>
      <c r="V544" s="186"/>
      <c r="W544" s="186"/>
      <c r="X544" s="186"/>
      <c r="Y544" s="186"/>
      <c r="Z544" s="186"/>
      <c r="AA544" s="186"/>
      <c r="AB544" s="186"/>
      <c r="AC544" s="186"/>
      <c r="AD544" s="186"/>
      <c r="AF544" s="150"/>
      <c r="AG544" s="150"/>
      <c r="AH544" s="150"/>
      <c r="AI544" s="150"/>
      <c r="AJ544" s="150"/>
      <c r="AK544" s="150"/>
      <c r="AL544" s="150"/>
      <c r="AM544" s="150"/>
      <c r="AN544" s="150"/>
      <c r="AO544" s="150"/>
      <c r="AP544" s="150"/>
      <c r="AQ544" s="150"/>
      <c r="AT544" s="186"/>
      <c r="AU544" s="186"/>
      <c r="AV544" s="186"/>
      <c r="AW544" s="186"/>
      <c r="AX544" s="186"/>
      <c r="AY544" s="186"/>
      <c r="AZ544" s="186"/>
      <c r="BA544" s="186"/>
      <c r="BB544" s="186"/>
      <c r="BC544" s="186"/>
      <c r="BD544" s="186"/>
      <c r="BE544" s="186"/>
      <c r="BF544" s="150"/>
      <c r="BG544" s="150"/>
    </row>
    <row r="545" spans="3:59" ht="14.6">
      <c r="C545" s="289"/>
      <c r="D545" s="150"/>
      <c r="E545" s="150"/>
      <c r="F545" s="150"/>
      <c r="G545" s="150"/>
      <c r="H545" s="150"/>
      <c r="I545" s="150"/>
      <c r="J545" s="150"/>
      <c r="K545" s="150"/>
      <c r="L545" s="150"/>
      <c r="M545" s="150"/>
      <c r="N545" s="150"/>
      <c r="O545" s="150"/>
      <c r="P545" s="150"/>
      <c r="Q545" s="150"/>
      <c r="R545" s="150"/>
      <c r="S545" s="150"/>
      <c r="T545" s="186"/>
      <c r="U545" s="186"/>
      <c r="V545" s="186"/>
      <c r="W545" s="186"/>
      <c r="X545" s="186"/>
      <c r="Y545" s="186"/>
      <c r="Z545" s="186"/>
      <c r="AA545" s="186"/>
      <c r="AB545" s="186"/>
      <c r="AC545" s="186"/>
      <c r="AD545" s="186"/>
      <c r="AF545" s="150"/>
      <c r="AG545" s="150"/>
      <c r="AH545" s="150"/>
      <c r="AI545" s="150"/>
      <c r="AJ545" s="150"/>
      <c r="AK545" s="150"/>
      <c r="AL545" s="150"/>
      <c r="AM545" s="150"/>
      <c r="AN545" s="150"/>
      <c r="AO545" s="150"/>
      <c r="AP545" s="150"/>
      <c r="AQ545" s="150"/>
      <c r="AT545" s="186"/>
      <c r="AU545" s="186"/>
      <c r="AV545" s="186"/>
      <c r="AW545" s="186"/>
      <c r="AX545" s="186"/>
      <c r="AY545" s="186"/>
      <c r="AZ545" s="186"/>
      <c r="BA545" s="186"/>
      <c r="BB545" s="186"/>
      <c r="BC545" s="186"/>
      <c r="BD545" s="186"/>
      <c r="BE545" s="186"/>
      <c r="BF545" s="150"/>
      <c r="BG545" s="150"/>
    </row>
    <row r="546" spans="3:59" ht="14.6">
      <c r="C546" s="289"/>
      <c r="D546" s="150"/>
      <c r="E546" s="150"/>
      <c r="F546" s="150"/>
      <c r="G546" s="150"/>
      <c r="H546" s="150"/>
      <c r="I546" s="150"/>
      <c r="J546" s="150"/>
      <c r="K546" s="150"/>
      <c r="L546" s="150"/>
      <c r="M546" s="150"/>
      <c r="N546" s="150"/>
      <c r="O546" s="150"/>
      <c r="P546" s="150"/>
      <c r="Q546" s="150"/>
      <c r="R546" s="150"/>
      <c r="S546" s="150"/>
      <c r="T546" s="186"/>
      <c r="U546" s="186"/>
      <c r="V546" s="186"/>
      <c r="W546" s="186"/>
      <c r="X546" s="186"/>
      <c r="Y546" s="186"/>
      <c r="Z546" s="186"/>
      <c r="AA546" s="186"/>
      <c r="AB546" s="186"/>
      <c r="AC546" s="186"/>
      <c r="AD546" s="186"/>
      <c r="AF546" s="150"/>
      <c r="AG546" s="150"/>
      <c r="AH546" s="150"/>
      <c r="AI546" s="150"/>
      <c r="AJ546" s="150"/>
      <c r="AK546" s="150"/>
      <c r="AL546" s="150"/>
      <c r="AM546" s="150"/>
      <c r="AN546" s="150"/>
      <c r="AO546" s="150"/>
      <c r="AP546" s="150"/>
      <c r="AQ546" s="150"/>
      <c r="AT546" s="186"/>
      <c r="AU546" s="186"/>
      <c r="AV546" s="186"/>
      <c r="AW546" s="186"/>
      <c r="AX546" s="186"/>
      <c r="AY546" s="186"/>
      <c r="AZ546" s="186"/>
      <c r="BA546" s="186"/>
      <c r="BB546" s="186"/>
      <c r="BC546" s="186"/>
      <c r="BD546" s="186"/>
      <c r="BE546" s="186"/>
      <c r="BF546" s="150"/>
      <c r="BG546" s="150"/>
    </row>
    <row r="547" spans="3:59" ht="14.6">
      <c r="C547" s="289"/>
      <c r="D547" s="150"/>
      <c r="E547" s="150"/>
      <c r="F547" s="150"/>
      <c r="G547" s="150"/>
      <c r="H547" s="150"/>
      <c r="I547" s="150"/>
      <c r="J547" s="150"/>
      <c r="K547" s="150"/>
      <c r="L547" s="150"/>
      <c r="M547" s="150"/>
      <c r="N547" s="150"/>
      <c r="O547" s="150"/>
      <c r="P547" s="150"/>
      <c r="Q547" s="150"/>
      <c r="R547" s="150"/>
      <c r="S547" s="150"/>
      <c r="T547" s="186"/>
      <c r="U547" s="186"/>
      <c r="V547" s="186"/>
      <c r="W547" s="186"/>
      <c r="X547" s="186"/>
      <c r="Y547" s="186"/>
      <c r="Z547" s="186"/>
      <c r="AA547" s="186"/>
      <c r="AB547" s="186"/>
      <c r="AC547" s="186"/>
      <c r="AD547" s="186"/>
      <c r="AF547" s="150"/>
      <c r="AG547" s="150"/>
      <c r="AH547" s="150"/>
      <c r="AI547" s="150"/>
      <c r="AJ547" s="150"/>
      <c r="AK547" s="150"/>
      <c r="AL547" s="150"/>
      <c r="AM547" s="150"/>
      <c r="AN547" s="150"/>
      <c r="AO547" s="150"/>
      <c r="AP547" s="150"/>
      <c r="AQ547" s="150"/>
      <c r="AT547" s="186"/>
      <c r="AU547" s="186"/>
      <c r="AV547" s="186"/>
      <c r="AW547" s="186"/>
      <c r="AX547" s="186"/>
      <c r="AY547" s="186"/>
      <c r="AZ547" s="186"/>
      <c r="BA547" s="186"/>
      <c r="BB547" s="186"/>
      <c r="BC547" s="186"/>
      <c r="BD547" s="186"/>
      <c r="BE547" s="186"/>
      <c r="BF547" s="150"/>
      <c r="BG547" s="150"/>
    </row>
    <row r="548" spans="3:59" ht="14.6">
      <c r="C548" s="289"/>
      <c r="D548" s="150"/>
      <c r="E548" s="150"/>
      <c r="F548" s="150"/>
      <c r="G548" s="150"/>
      <c r="H548" s="150"/>
      <c r="I548" s="150"/>
      <c r="J548" s="150"/>
      <c r="K548" s="150"/>
      <c r="L548" s="150"/>
      <c r="M548" s="150"/>
      <c r="N548" s="150"/>
      <c r="O548" s="150"/>
      <c r="P548" s="150"/>
      <c r="Q548" s="150"/>
      <c r="R548" s="150"/>
      <c r="S548" s="150"/>
      <c r="T548" s="186"/>
      <c r="U548" s="186"/>
      <c r="V548" s="186"/>
      <c r="W548" s="186"/>
      <c r="X548" s="186"/>
      <c r="Y548" s="186"/>
      <c r="Z548" s="186"/>
      <c r="AA548" s="186"/>
      <c r="AB548" s="186"/>
      <c r="AC548" s="186"/>
      <c r="AD548" s="186"/>
      <c r="AF548" s="150"/>
      <c r="AG548" s="150"/>
      <c r="AH548" s="150"/>
      <c r="AI548" s="150"/>
      <c r="AJ548" s="150"/>
      <c r="AK548" s="150"/>
      <c r="AL548" s="150"/>
      <c r="AM548" s="150"/>
      <c r="AN548" s="150"/>
      <c r="AO548" s="150"/>
      <c r="AP548" s="150"/>
      <c r="AQ548" s="150"/>
      <c r="AT548" s="186"/>
      <c r="AU548" s="186"/>
      <c r="AV548" s="186"/>
      <c r="AW548" s="186"/>
      <c r="AX548" s="186"/>
      <c r="AY548" s="186"/>
      <c r="AZ548" s="186"/>
      <c r="BA548" s="186"/>
      <c r="BB548" s="186"/>
      <c r="BC548" s="186"/>
      <c r="BD548" s="186"/>
      <c r="BE548" s="186"/>
      <c r="BF548" s="150"/>
      <c r="BG548" s="150"/>
    </row>
    <row r="549" spans="3:59" ht="14.6">
      <c r="C549" s="289"/>
      <c r="D549" s="150"/>
      <c r="E549" s="150"/>
      <c r="F549" s="150"/>
      <c r="G549" s="150"/>
      <c r="H549" s="150"/>
      <c r="I549" s="150"/>
      <c r="J549" s="150"/>
      <c r="K549" s="150"/>
      <c r="L549" s="150"/>
      <c r="M549" s="150"/>
      <c r="N549" s="150"/>
      <c r="O549" s="150"/>
      <c r="P549" s="150"/>
      <c r="Q549" s="150"/>
      <c r="R549" s="150"/>
      <c r="S549" s="150"/>
      <c r="T549" s="186"/>
      <c r="U549" s="186"/>
      <c r="V549" s="186"/>
      <c r="W549" s="186"/>
      <c r="X549" s="186"/>
      <c r="Y549" s="186"/>
      <c r="Z549" s="186"/>
      <c r="AA549" s="186"/>
      <c r="AB549" s="186"/>
      <c r="AC549" s="186"/>
      <c r="AD549" s="186"/>
      <c r="AF549" s="150"/>
      <c r="AG549" s="150"/>
      <c r="AH549" s="150"/>
      <c r="AI549" s="150"/>
      <c r="AJ549" s="150"/>
      <c r="AK549" s="150"/>
      <c r="AL549" s="150"/>
      <c r="AM549" s="150"/>
      <c r="AN549" s="150"/>
      <c r="AO549" s="150"/>
      <c r="AP549" s="150"/>
      <c r="AQ549" s="150"/>
      <c r="AT549" s="186"/>
      <c r="AU549" s="186"/>
      <c r="AV549" s="186"/>
      <c r="AW549" s="186"/>
      <c r="AX549" s="186"/>
      <c r="AY549" s="186"/>
      <c r="AZ549" s="186"/>
      <c r="BA549" s="186"/>
      <c r="BB549" s="186"/>
      <c r="BC549" s="186"/>
      <c r="BD549" s="186"/>
      <c r="BE549" s="186"/>
      <c r="BF549" s="150"/>
      <c r="BG549" s="150"/>
    </row>
    <row r="550" spans="3:59" ht="14.6">
      <c r="C550" s="289"/>
      <c r="D550" s="150"/>
      <c r="E550" s="150"/>
      <c r="F550" s="150"/>
      <c r="G550" s="150"/>
      <c r="H550" s="150"/>
      <c r="I550" s="150"/>
      <c r="J550" s="150"/>
      <c r="K550" s="150"/>
      <c r="L550" s="150"/>
      <c r="M550" s="150"/>
      <c r="N550" s="150"/>
      <c r="O550" s="150"/>
      <c r="P550" s="150"/>
      <c r="Q550" s="150"/>
      <c r="R550" s="150"/>
      <c r="S550" s="150"/>
      <c r="T550" s="186"/>
      <c r="U550" s="186"/>
      <c r="V550" s="186"/>
      <c r="W550" s="186"/>
      <c r="X550" s="186"/>
      <c r="Y550" s="186"/>
      <c r="Z550" s="186"/>
      <c r="AA550" s="186"/>
      <c r="AB550" s="186"/>
      <c r="AC550" s="186"/>
      <c r="AD550" s="186"/>
      <c r="AF550" s="150"/>
      <c r="AG550" s="150"/>
      <c r="AH550" s="150"/>
      <c r="AI550" s="150"/>
      <c r="AJ550" s="150"/>
      <c r="AK550" s="150"/>
      <c r="AL550" s="150"/>
      <c r="AM550" s="150"/>
      <c r="AN550" s="150"/>
      <c r="AO550" s="150"/>
      <c r="AP550" s="150"/>
      <c r="AQ550" s="150"/>
      <c r="AT550" s="186"/>
      <c r="AU550" s="186"/>
      <c r="AV550" s="186"/>
      <c r="AW550" s="186"/>
      <c r="AX550" s="186"/>
      <c r="AY550" s="186"/>
      <c r="AZ550" s="186"/>
      <c r="BA550" s="186"/>
      <c r="BB550" s="186"/>
      <c r="BC550" s="186"/>
      <c r="BD550" s="186"/>
      <c r="BE550" s="186"/>
      <c r="BF550" s="150"/>
      <c r="BG550" s="150"/>
    </row>
    <row r="551" spans="3:59" ht="14.6">
      <c r="C551" s="289"/>
      <c r="D551" s="150"/>
      <c r="E551" s="150"/>
      <c r="F551" s="150"/>
      <c r="G551" s="150"/>
      <c r="H551" s="150"/>
      <c r="I551" s="150"/>
      <c r="J551" s="150"/>
      <c r="K551" s="150"/>
      <c r="L551" s="150"/>
      <c r="M551" s="150"/>
      <c r="N551" s="150"/>
      <c r="O551" s="150"/>
      <c r="P551" s="150"/>
      <c r="Q551" s="150"/>
      <c r="R551" s="150"/>
      <c r="S551" s="150"/>
      <c r="T551" s="186"/>
      <c r="U551" s="186"/>
      <c r="V551" s="186"/>
      <c r="W551" s="186"/>
      <c r="X551" s="186"/>
      <c r="Y551" s="186"/>
      <c r="Z551" s="186"/>
      <c r="AA551" s="186"/>
      <c r="AB551" s="186"/>
      <c r="AC551" s="186"/>
      <c r="AD551" s="186"/>
      <c r="AF551" s="150"/>
      <c r="AG551" s="150"/>
      <c r="AH551" s="150"/>
      <c r="AI551" s="150"/>
      <c r="AJ551" s="150"/>
      <c r="AK551" s="150"/>
      <c r="AL551" s="150"/>
      <c r="AM551" s="150"/>
      <c r="AN551" s="150"/>
      <c r="AO551" s="150"/>
      <c r="AP551" s="150"/>
      <c r="AQ551" s="150"/>
      <c r="AT551" s="186"/>
      <c r="AU551" s="186"/>
      <c r="AV551" s="186"/>
      <c r="AW551" s="186"/>
      <c r="AX551" s="186"/>
      <c r="AY551" s="186"/>
      <c r="AZ551" s="186"/>
      <c r="BA551" s="186"/>
      <c r="BB551" s="186"/>
      <c r="BC551" s="186"/>
      <c r="BD551" s="186"/>
      <c r="BE551" s="186"/>
      <c r="BF551" s="150"/>
      <c r="BG551" s="150"/>
    </row>
    <row r="552" spans="3:59" ht="14.6">
      <c r="C552" s="289"/>
      <c r="D552" s="150"/>
      <c r="E552" s="150"/>
      <c r="F552" s="150"/>
      <c r="G552" s="150"/>
      <c r="H552" s="150"/>
      <c r="I552" s="150"/>
      <c r="J552" s="150"/>
      <c r="K552" s="150"/>
      <c r="L552" s="150"/>
      <c r="M552" s="150"/>
      <c r="N552" s="150"/>
      <c r="O552" s="150"/>
      <c r="P552" s="150"/>
      <c r="Q552" s="150"/>
      <c r="R552" s="150"/>
      <c r="S552" s="150"/>
      <c r="T552" s="186"/>
      <c r="U552" s="186"/>
      <c r="V552" s="186"/>
      <c r="W552" s="186"/>
      <c r="X552" s="186"/>
      <c r="Y552" s="186"/>
      <c r="Z552" s="186"/>
      <c r="AA552" s="186"/>
      <c r="AB552" s="186"/>
      <c r="AC552" s="186"/>
      <c r="AD552" s="186"/>
      <c r="AF552" s="150"/>
      <c r="AG552" s="150"/>
      <c r="AH552" s="150"/>
      <c r="AI552" s="150"/>
      <c r="AJ552" s="150"/>
      <c r="AK552" s="150"/>
      <c r="AL552" s="150"/>
      <c r="AM552" s="150"/>
      <c r="AN552" s="150"/>
      <c r="AO552" s="150"/>
      <c r="AP552" s="150"/>
      <c r="AQ552" s="150"/>
      <c r="AT552" s="186"/>
      <c r="AU552" s="186"/>
      <c r="AV552" s="186"/>
      <c r="AW552" s="186"/>
      <c r="AX552" s="186"/>
      <c r="AY552" s="186"/>
      <c r="AZ552" s="186"/>
      <c r="BA552" s="186"/>
      <c r="BB552" s="186"/>
      <c r="BC552" s="186"/>
      <c r="BD552" s="186"/>
      <c r="BE552" s="186"/>
      <c r="BF552" s="150"/>
      <c r="BG552" s="150"/>
    </row>
    <row r="553" spans="3:59" ht="14.6">
      <c r="C553" s="289"/>
      <c r="D553" s="150"/>
      <c r="E553" s="150"/>
      <c r="F553" s="150"/>
      <c r="G553" s="150"/>
      <c r="H553" s="150"/>
      <c r="I553" s="150"/>
      <c r="J553" s="150"/>
      <c r="K553" s="150"/>
      <c r="L553" s="150"/>
      <c r="M553" s="150"/>
      <c r="N553" s="150"/>
      <c r="O553" s="150"/>
      <c r="P553" s="150"/>
      <c r="Q553" s="150"/>
      <c r="R553" s="150"/>
      <c r="S553" s="150"/>
      <c r="T553" s="186"/>
      <c r="U553" s="186"/>
      <c r="V553" s="186"/>
      <c r="W553" s="186"/>
      <c r="X553" s="186"/>
      <c r="Y553" s="186"/>
      <c r="Z553" s="186"/>
      <c r="AA553" s="186"/>
      <c r="AB553" s="186"/>
      <c r="AC553" s="186"/>
      <c r="AD553" s="186"/>
      <c r="AF553" s="150"/>
      <c r="AG553" s="150"/>
      <c r="AH553" s="150"/>
      <c r="AI553" s="150"/>
      <c r="AJ553" s="150"/>
      <c r="AK553" s="150"/>
      <c r="AL553" s="150"/>
      <c r="AM553" s="150"/>
      <c r="AN553" s="150"/>
      <c r="AO553" s="150"/>
      <c r="AP553" s="150"/>
      <c r="AQ553" s="150"/>
      <c r="AT553" s="186"/>
      <c r="AU553" s="186"/>
      <c r="AV553" s="186"/>
      <c r="AW553" s="186"/>
      <c r="AX553" s="186"/>
      <c r="AY553" s="186"/>
      <c r="AZ553" s="186"/>
      <c r="BA553" s="186"/>
      <c r="BB553" s="186"/>
      <c r="BC553" s="186"/>
      <c r="BD553" s="186"/>
      <c r="BE553" s="186"/>
      <c r="BF553" s="150"/>
      <c r="BG553" s="150"/>
    </row>
    <row r="554" spans="3:59" ht="14.6">
      <c r="C554" s="289"/>
      <c r="D554" s="150"/>
      <c r="E554" s="150"/>
      <c r="F554" s="150"/>
      <c r="G554" s="150"/>
      <c r="H554" s="150"/>
      <c r="I554" s="150"/>
      <c r="J554" s="150"/>
      <c r="K554" s="150"/>
      <c r="L554" s="150"/>
      <c r="M554" s="150"/>
      <c r="N554" s="150"/>
      <c r="O554" s="150"/>
      <c r="P554" s="150"/>
      <c r="Q554" s="150"/>
      <c r="R554" s="150"/>
      <c r="S554" s="150"/>
      <c r="T554" s="186"/>
      <c r="U554" s="186"/>
      <c r="V554" s="186"/>
      <c r="W554" s="186"/>
      <c r="X554" s="186"/>
      <c r="Y554" s="186"/>
      <c r="Z554" s="186"/>
      <c r="AA554" s="186"/>
      <c r="AB554" s="186"/>
      <c r="AC554" s="186"/>
      <c r="AD554" s="186"/>
      <c r="AF554" s="150"/>
      <c r="AG554" s="150"/>
      <c r="AH554" s="150"/>
      <c r="AI554" s="150"/>
      <c r="AJ554" s="150"/>
      <c r="AK554" s="150"/>
      <c r="AL554" s="150"/>
      <c r="AM554" s="150"/>
      <c r="AN554" s="150"/>
      <c r="AO554" s="150"/>
      <c r="AP554" s="150"/>
      <c r="AQ554" s="150"/>
      <c r="AT554" s="186"/>
      <c r="AU554" s="186"/>
      <c r="AV554" s="186"/>
      <c r="AW554" s="186"/>
      <c r="AX554" s="186"/>
      <c r="AY554" s="186"/>
      <c r="AZ554" s="186"/>
      <c r="BA554" s="186"/>
      <c r="BB554" s="186"/>
      <c r="BC554" s="186"/>
      <c r="BD554" s="186"/>
      <c r="BE554" s="186"/>
      <c r="BF554" s="150"/>
      <c r="BG554" s="150"/>
    </row>
    <row r="555" spans="3:59" ht="14.6">
      <c r="C555" s="289"/>
      <c r="D555" s="150"/>
      <c r="E555" s="150"/>
      <c r="F555" s="150"/>
      <c r="G555" s="150"/>
      <c r="H555" s="150"/>
      <c r="I555" s="150"/>
      <c r="J555" s="150"/>
      <c r="K555" s="150"/>
      <c r="L555" s="150"/>
      <c r="M555" s="150"/>
      <c r="N555" s="150"/>
      <c r="O555" s="150"/>
      <c r="P555" s="150"/>
      <c r="Q555" s="150"/>
      <c r="R555" s="150"/>
      <c r="S555" s="150"/>
      <c r="T555" s="186"/>
      <c r="U555" s="186"/>
      <c r="V555" s="186"/>
      <c r="W555" s="186"/>
      <c r="X555" s="186"/>
      <c r="Y555" s="186"/>
      <c r="Z555" s="186"/>
      <c r="AA555" s="186"/>
      <c r="AB555" s="186"/>
      <c r="AC555" s="186"/>
      <c r="AD555" s="186"/>
      <c r="AF555" s="150"/>
      <c r="AG555" s="150"/>
      <c r="AH555" s="150"/>
      <c r="AI555" s="150"/>
      <c r="AJ555" s="150"/>
      <c r="AK555" s="150"/>
      <c r="AL555" s="150"/>
      <c r="AM555" s="150"/>
      <c r="AN555" s="150"/>
      <c r="AO555" s="150"/>
      <c r="AP555" s="150"/>
      <c r="AQ555" s="150"/>
      <c r="AT555" s="186"/>
      <c r="AU555" s="186"/>
      <c r="AV555" s="186"/>
      <c r="AW555" s="186"/>
      <c r="AX555" s="186"/>
      <c r="AY555" s="186"/>
      <c r="AZ555" s="186"/>
      <c r="BA555" s="186"/>
      <c r="BB555" s="186"/>
      <c r="BC555" s="186"/>
      <c r="BD555" s="186"/>
      <c r="BE555" s="186"/>
      <c r="BF555" s="150"/>
      <c r="BG555" s="150"/>
    </row>
    <row r="556" spans="3:59" ht="14.6">
      <c r="C556" s="289"/>
      <c r="D556" s="150"/>
      <c r="E556" s="150"/>
      <c r="F556" s="150"/>
      <c r="G556" s="150"/>
      <c r="H556" s="150"/>
      <c r="I556" s="150"/>
      <c r="J556" s="150"/>
      <c r="K556" s="150"/>
      <c r="L556" s="150"/>
      <c r="M556" s="150"/>
      <c r="N556" s="150"/>
      <c r="O556" s="150"/>
      <c r="P556" s="150"/>
      <c r="Q556" s="150"/>
      <c r="R556" s="150"/>
      <c r="S556" s="150"/>
      <c r="T556" s="186"/>
      <c r="U556" s="186"/>
      <c r="V556" s="186"/>
      <c r="W556" s="186"/>
      <c r="X556" s="186"/>
      <c r="Y556" s="186"/>
      <c r="Z556" s="186"/>
      <c r="AA556" s="186"/>
      <c r="AB556" s="186"/>
      <c r="AC556" s="186"/>
      <c r="AD556" s="186"/>
      <c r="AF556" s="150"/>
      <c r="AG556" s="150"/>
      <c r="AH556" s="150"/>
      <c r="AI556" s="150"/>
      <c r="AJ556" s="150"/>
      <c r="AK556" s="150"/>
      <c r="AL556" s="150"/>
      <c r="AM556" s="150"/>
      <c r="AN556" s="150"/>
      <c r="AO556" s="150"/>
      <c r="AP556" s="150"/>
      <c r="AQ556" s="150"/>
      <c r="AT556" s="186"/>
      <c r="AU556" s="186"/>
      <c r="AV556" s="186"/>
      <c r="AW556" s="186"/>
      <c r="AX556" s="186"/>
      <c r="AY556" s="186"/>
      <c r="AZ556" s="186"/>
      <c r="BA556" s="186"/>
      <c r="BB556" s="186"/>
      <c r="BC556" s="186"/>
      <c r="BD556" s="186"/>
      <c r="BE556" s="186"/>
      <c r="BF556" s="150"/>
      <c r="BG556" s="150"/>
    </row>
    <row r="557" spans="3:59" ht="14.6">
      <c r="C557" s="289"/>
      <c r="D557" s="150"/>
      <c r="E557" s="150"/>
      <c r="F557" s="150"/>
      <c r="G557" s="150"/>
      <c r="H557" s="150"/>
      <c r="I557" s="150"/>
      <c r="J557" s="150"/>
      <c r="K557" s="150"/>
      <c r="L557" s="150"/>
      <c r="M557" s="150"/>
      <c r="N557" s="150"/>
      <c r="O557" s="150"/>
      <c r="P557" s="150"/>
      <c r="Q557" s="150"/>
      <c r="R557" s="150"/>
      <c r="S557" s="150"/>
      <c r="T557" s="186"/>
      <c r="U557" s="186"/>
      <c r="V557" s="186"/>
      <c r="W557" s="186"/>
      <c r="X557" s="186"/>
      <c r="Y557" s="186"/>
      <c r="Z557" s="186"/>
      <c r="AA557" s="186"/>
      <c r="AB557" s="186"/>
      <c r="AC557" s="186"/>
      <c r="AD557" s="186"/>
      <c r="AF557" s="150"/>
      <c r="AG557" s="150"/>
      <c r="AH557" s="150"/>
      <c r="AI557" s="150"/>
      <c r="AJ557" s="150"/>
      <c r="AK557" s="150"/>
      <c r="AL557" s="150"/>
      <c r="AM557" s="150"/>
      <c r="AN557" s="150"/>
      <c r="AO557" s="150"/>
      <c r="AP557" s="150"/>
      <c r="AQ557" s="150"/>
      <c r="AT557" s="186"/>
      <c r="AU557" s="186"/>
      <c r="AV557" s="186"/>
      <c r="AW557" s="186"/>
      <c r="AX557" s="186"/>
      <c r="AY557" s="186"/>
      <c r="AZ557" s="186"/>
      <c r="BA557" s="186"/>
      <c r="BB557" s="186"/>
      <c r="BC557" s="186"/>
      <c r="BD557" s="186"/>
      <c r="BE557" s="186"/>
      <c r="BF557" s="150"/>
      <c r="BG557" s="150"/>
    </row>
    <row r="558" spans="3:59" ht="14.6">
      <c r="C558" s="289"/>
      <c r="D558" s="150"/>
      <c r="E558" s="150"/>
      <c r="F558" s="150"/>
      <c r="G558" s="150"/>
      <c r="H558" s="150"/>
      <c r="I558" s="150"/>
      <c r="J558" s="150"/>
      <c r="K558" s="150"/>
      <c r="L558" s="150"/>
      <c r="M558" s="150"/>
      <c r="N558" s="150"/>
      <c r="O558" s="150"/>
      <c r="P558" s="150"/>
      <c r="Q558" s="150"/>
      <c r="R558" s="150"/>
      <c r="S558" s="150"/>
      <c r="T558" s="186"/>
      <c r="U558" s="186"/>
      <c r="V558" s="186"/>
      <c r="W558" s="186"/>
      <c r="X558" s="186"/>
      <c r="Y558" s="186"/>
      <c r="Z558" s="186"/>
      <c r="AA558" s="186"/>
      <c r="AB558" s="186"/>
      <c r="AC558" s="186"/>
      <c r="AD558" s="186"/>
      <c r="AF558" s="150"/>
      <c r="AG558" s="150"/>
      <c r="AH558" s="150"/>
      <c r="AI558" s="150"/>
      <c r="AJ558" s="150"/>
      <c r="AK558" s="150"/>
      <c r="AL558" s="150"/>
      <c r="AM558" s="150"/>
      <c r="AN558" s="150"/>
      <c r="AO558" s="150"/>
      <c r="AP558" s="150"/>
      <c r="AQ558" s="150"/>
      <c r="AT558" s="186"/>
      <c r="AU558" s="186"/>
      <c r="AV558" s="186"/>
      <c r="AW558" s="186"/>
      <c r="AX558" s="186"/>
      <c r="AY558" s="186"/>
      <c r="AZ558" s="186"/>
      <c r="BA558" s="186"/>
      <c r="BB558" s="186"/>
      <c r="BC558" s="186"/>
      <c r="BD558" s="186"/>
      <c r="BE558" s="186"/>
      <c r="BF558" s="150"/>
      <c r="BG558" s="150"/>
    </row>
    <row r="559" spans="3:59" ht="14.6">
      <c r="C559" s="289"/>
      <c r="D559" s="150"/>
      <c r="E559" s="150"/>
      <c r="F559" s="150"/>
      <c r="G559" s="150"/>
      <c r="H559" s="150"/>
      <c r="I559" s="150"/>
      <c r="J559" s="150"/>
      <c r="K559" s="150"/>
      <c r="L559" s="150"/>
      <c r="M559" s="150"/>
      <c r="N559" s="150"/>
      <c r="O559" s="150"/>
      <c r="P559" s="150"/>
      <c r="Q559" s="150"/>
      <c r="R559" s="150"/>
      <c r="S559" s="150"/>
      <c r="T559" s="186"/>
      <c r="U559" s="186"/>
      <c r="V559" s="186"/>
      <c r="W559" s="186"/>
      <c r="X559" s="186"/>
      <c r="Y559" s="186"/>
      <c r="Z559" s="186"/>
      <c r="AA559" s="186"/>
      <c r="AB559" s="186"/>
      <c r="AC559" s="186"/>
      <c r="AD559" s="186"/>
      <c r="AF559" s="150"/>
      <c r="AG559" s="150"/>
      <c r="AH559" s="150"/>
      <c r="AI559" s="150"/>
      <c r="AJ559" s="150"/>
      <c r="AK559" s="150"/>
      <c r="AL559" s="150"/>
      <c r="AM559" s="150"/>
      <c r="AN559" s="150"/>
      <c r="AO559" s="150"/>
      <c r="AP559" s="150"/>
      <c r="AQ559" s="150"/>
      <c r="AT559" s="186"/>
      <c r="AU559" s="186"/>
      <c r="AV559" s="186"/>
      <c r="AW559" s="186"/>
      <c r="AX559" s="186"/>
      <c r="AY559" s="186"/>
      <c r="AZ559" s="186"/>
      <c r="BA559" s="186"/>
      <c r="BB559" s="186"/>
      <c r="BC559" s="186"/>
      <c r="BD559" s="186"/>
      <c r="BE559" s="186"/>
      <c r="BF559" s="150"/>
      <c r="BG559" s="150"/>
    </row>
    <row r="560" spans="3:59" ht="14.6">
      <c r="C560" s="289"/>
      <c r="D560" s="150"/>
      <c r="E560" s="150"/>
      <c r="F560" s="150"/>
      <c r="G560" s="150"/>
      <c r="H560" s="150"/>
      <c r="I560" s="150"/>
      <c r="J560" s="150"/>
      <c r="K560" s="150"/>
      <c r="L560" s="150"/>
      <c r="M560" s="150"/>
      <c r="N560" s="150"/>
      <c r="O560" s="150"/>
      <c r="P560" s="150"/>
      <c r="Q560" s="150"/>
      <c r="R560" s="150"/>
      <c r="S560" s="150"/>
      <c r="T560" s="186"/>
      <c r="U560" s="186"/>
      <c r="V560" s="186"/>
      <c r="W560" s="186"/>
      <c r="X560" s="186"/>
      <c r="Y560" s="186"/>
      <c r="Z560" s="186"/>
      <c r="AA560" s="186"/>
      <c r="AB560" s="186"/>
      <c r="AC560" s="186"/>
      <c r="AD560" s="186"/>
      <c r="AF560" s="150"/>
      <c r="AG560" s="150"/>
      <c r="AH560" s="150"/>
      <c r="AI560" s="150"/>
      <c r="AJ560" s="150"/>
      <c r="AK560" s="150"/>
      <c r="AL560" s="150"/>
      <c r="AM560" s="150"/>
      <c r="AN560" s="150"/>
      <c r="AO560" s="150"/>
      <c r="AP560" s="150"/>
      <c r="AQ560" s="150"/>
      <c r="AT560" s="186"/>
      <c r="AU560" s="186"/>
      <c r="AV560" s="186"/>
      <c r="AW560" s="186"/>
      <c r="AX560" s="186"/>
      <c r="AY560" s="186"/>
      <c r="AZ560" s="186"/>
      <c r="BA560" s="186"/>
      <c r="BB560" s="186"/>
      <c r="BC560" s="186"/>
      <c r="BD560" s="186"/>
      <c r="BE560" s="186"/>
      <c r="BF560" s="150"/>
      <c r="BG560" s="150"/>
    </row>
    <row r="561" spans="3:59" ht="14.6">
      <c r="C561" s="289"/>
      <c r="D561" s="150"/>
      <c r="E561" s="150"/>
      <c r="F561" s="150"/>
      <c r="G561" s="150"/>
      <c r="H561" s="150"/>
      <c r="I561" s="150"/>
      <c r="J561" s="150"/>
      <c r="K561" s="150"/>
      <c r="L561" s="150"/>
      <c r="M561" s="150"/>
      <c r="N561" s="150"/>
      <c r="O561" s="150"/>
      <c r="P561" s="150"/>
      <c r="Q561" s="150"/>
      <c r="R561" s="150"/>
      <c r="S561" s="150"/>
      <c r="T561" s="186"/>
      <c r="U561" s="186"/>
      <c r="V561" s="186"/>
      <c r="W561" s="186"/>
      <c r="X561" s="186"/>
      <c r="Y561" s="186"/>
      <c r="Z561" s="186"/>
      <c r="AA561" s="186"/>
      <c r="AB561" s="186"/>
      <c r="AC561" s="186"/>
      <c r="AD561" s="186"/>
      <c r="AF561" s="150"/>
      <c r="AG561" s="150"/>
      <c r="AH561" s="150"/>
      <c r="AI561" s="150"/>
      <c r="AJ561" s="150"/>
      <c r="AK561" s="150"/>
      <c r="AL561" s="150"/>
      <c r="AM561" s="150"/>
      <c r="AN561" s="150"/>
      <c r="AO561" s="150"/>
      <c r="AP561" s="150"/>
      <c r="AQ561" s="150"/>
      <c r="AT561" s="186"/>
      <c r="AU561" s="186"/>
      <c r="AV561" s="186"/>
      <c r="AW561" s="186"/>
      <c r="AX561" s="186"/>
      <c r="AY561" s="186"/>
      <c r="AZ561" s="186"/>
      <c r="BA561" s="186"/>
      <c r="BB561" s="186"/>
      <c r="BC561" s="186"/>
      <c r="BD561" s="186"/>
      <c r="BE561" s="186"/>
      <c r="BF561" s="150"/>
      <c r="BG561" s="150"/>
    </row>
    <row r="562" spans="3:59" ht="14.6">
      <c r="C562" s="289"/>
      <c r="D562" s="150"/>
      <c r="E562" s="150"/>
      <c r="F562" s="150"/>
      <c r="G562" s="150"/>
      <c r="H562" s="150"/>
      <c r="I562" s="150"/>
      <c r="J562" s="150"/>
      <c r="K562" s="150"/>
      <c r="L562" s="150"/>
      <c r="M562" s="150"/>
      <c r="N562" s="150"/>
      <c r="O562" s="150"/>
      <c r="P562" s="150"/>
      <c r="Q562" s="150"/>
      <c r="R562" s="150"/>
      <c r="S562" s="150"/>
      <c r="T562" s="186"/>
      <c r="U562" s="186"/>
      <c r="V562" s="186"/>
      <c r="W562" s="186"/>
      <c r="X562" s="186"/>
      <c r="Y562" s="186"/>
      <c r="Z562" s="186"/>
      <c r="AA562" s="186"/>
      <c r="AB562" s="186"/>
      <c r="AC562" s="186"/>
      <c r="AD562" s="186"/>
      <c r="AF562" s="150"/>
      <c r="AG562" s="150"/>
      <c r="AH562" s="150"/>
      <c r="AI562" s="150"/>
      <c r="AJ562" s="150"/>
      <c r="AK562" s="150"/>
      <c r="AL562" s="150"/>
      <c r="AM562" s="150"/>
      <c r="AN562" s="150"/>
      <c r="AO562" s="150"/>
      <c r="AP562" s="150"/>
      <c r="AQ562" s="150"/>
      <c r="AT562" s="186"/>
      <c r="AU562" s="186"/>
      <c r="AV562" s="186"/>
      <c r="AW562" s="186"/>
      <c r="AX562" s="186"/>
      <c r="AY562" s="186"/>
      <c r="AZ562" s="186"/>
      <c r="BA562" s="186"/>
      <c r="BB562" s="186"/>
      <c r="BC562" s="186"/>
      <c r="BD562" s="186"/>
      <c r="BE562" s="186"/>
      <c r="BF562" s="150"/>
      <c r="BG562" s="150"/>
    </row>
    <row r="563" spans="3:59" ht="14.6">
      <c r="C563" s="289"/>
      <c r="D563" s="150"/>
      <c r="E563" s="150"/>
      <c r="F563" s="150"/>
      <c r="G563" s="150"/>
      <c r="H563" s="150"/>
      <c r="I563" s="150"/>
      <c r="J563" s="150"/>
      <c r="K563" s="150"/>
      <c r="L563" s="150"/>
      <c r="M563" s="150"/>
      <c r="N563" s="150"/>
      <c r="O563" s="150"/>
      <c r="P563" s="150"/>
      <c r="Q563" s="150"/>
      <c r="R563" s="150"/>
      <c r="S563" s="150"/>
      <c r="T563" s="186"/>
      <c r="U563" s="186"/>
      <c r="V563" s="186"/>
      <c r="W563" s="186"/>
      <c r="X563" s="186"/>
      <c r="Y563" s="186"/>
      <c r="Z563" s="186"/>
      <c r="AA563" s="186"/>
      <c r="AB563" s="186"/>
      <c r="AC563" s="186"/>
      <c r="AD563" s="186"/>
      <c r="AF563" s="150"/>
      <c r="AG563" s="150"/>
      <c r="AH563" s="150"/>
      <c r="AI563" s="150"/>
      <c r="AJ563" s="150"/>
      <c r="AK563" s="150"/>
      <c r="AL563" s="150"/>
      <c r="AM563" s="150"/>
      <c r="AN563" s="150"/>
      <c r="AO563" s="150"/>
      <c r="AP563" s="150"/>
      <c r="AQ563" s="150"/>
      <c r="AT563" s="186"/>
      <c r="AU563" s="186"/>
      <c r="AV563" s="186"/>
      <c r="AW563" s="186"/>
      <c r="AX563" s="186"/>
      <c r="AY563" s="186"/>
      <c r="AZ563" s="186"/>
      <c r="BA563" s="186"/>
      <c r="BB563" s="186"/>
      <c r="BC563" s="186"/>
      <c r="BD563" s="186"/>
      <c r="BE563" s="186"/>
      <c r="BF563" s="150"/>
      <c r="BG563" s="150"/>
    </row>
    <row r="564" spans="3:59" ht="14.6">
      <c r="C564" s="289"/>
      <c r="D564" s="150"/>
      <c r="E564" s="150"/>
      <c r="F564" s="150"/>
      <c r="G564" s="150"/>
      <c r="H564" s="150"/>
      <c r="I564" s="150"/>
      <c r="J564" s="150"/>
      <c r="K564" s="150"/>
      <c r="L564" s="150"/>
      <c r="M564" s="150"/>
      <c r="N564" s="150"/>
      <c r="O564" s="150"/>
      <c r="P564" s="150"/>
      <c r="Q564" s="150"/>
      <c r="R564" s="150"/>
      <c r="S564" s="150"/>
      <c r="T564" s="186"/>
      <c r="U564" s="186"/>
      <c r="V564" s="186"/>
      <c r="W564" s="186"/>
      <c r="X564" s="186"/>
      <c r="Y564" s="186"/>
      <c r="Z564" s="186"/>
      <c r="AA564" s="186"/>
      <c r="AB564" s="186"/>
      <c r="AC564" s="186"/>
      <c r="AD564" s="186"/>
      <c r="AF564" s="150"/>
      <c r="AG564" s="150"/>
      <c r="AH564" s="150"/>
      <c r="AI564" s="150"/>
      <c r="AJ564" s="150"/>
      <c r="AK564" s="150"/>
      <c r="AL564" s="150"/>
      <c r="AM564" s="150"/>
      <c r="AN564" s="150"/>
      <c r="AO564" s="150"/>
      <c r="AP564" s="150"/>
      <c r="AQ564" s="150"/>
      <c r="AT564" s="186"/>
      <c r="AU564" s="186"/>
      <c r="AV564" s="186"/>
      <c r="AW564" s="186"/>
      <c r="AX564" s="186"/>
      <c r="AY564" s="186"/>
      <c r="AZ564" s="186"/>
      <c r="BA564" s="186"/>
      <c r="BB564" s="186"/>
      <c r="BC564" s="186"/>
      <c r="BD564" s="186"/>
      <c r="BE564" s="186"/>
      <c r="BF564" s="150"/>
      <c r="BG564" s="150"/>
    </row>
    <row r="565" spans="3:59" ht="14.6">
      <c r="C565" s="289"/>
      <c r="D565" s="150"/>
      <c r="E565" s="150"/>
      <c r="F565" s="150"/>
      <c r="G565" s="150"/>
      <c r="H565" s="150"/>
      <c r="I565" s="150"/>
      <c r="J565" s="150"/>
      <c r="K565" s="150"/>
      <c r="L565" s="150"/>
      <c r="M565" s="150"/>
      <c r="N565" s="150"/>
      <c r="O565" s="150"/>
      <c r="P565" s="150"/>
      <c r="Q565" s="150"/>
      <c r="R565" s="150"/>
      <c r="S565" s="150"/>
      <c r="T565" s="186"/>
      <c r="U565" s="186"/>
      <c r="V565" s="186"/>
      <c r="W565" s="186"/>
      <c r="X565" s="186"/>
      <c r="Y565" s="186"/>
      <c r="Z565" s="186"/>
      <c r="AA565" s="186"/>
      <c r="AB565" s="186"/>
      <c r="AC565" s="186"/>
      <c r="AD565" s="186"/>
      <c r="AF565" s="150"/>
      <c r="AG565" s="150"/>
      <c r="AH565" s="150"/>
      <c r="AI565" s="150"/>
      <c r="AJ565" s="150"/>
      <c r="AK565" s="150"/>
      <c r="AL565" s="150"/>
      <c r="AM565" s="150"/>
      <c r="AN565" s="150"/>
      <c r="AO565" s="150"/>
      <c r="AP565" s="150"/>
      <c r="AQ565" s="150"/>
      <c r="AT565" s="186"/>
      <c r="AU565" s="186"/>
      <c r="AV565" s="186"/>
      <c r="AW565" s="186"/>
      <c r="AX565" s="186"/>
      <c r="AY565" s="186"/>
      <c r="AZ565" s="186"/>
      <c r="BA565" s="186"/>
      <c r="BB565" s="186"/>
      <c r="BC565" s="186"/>
      <c r="BD565" s="186"/>
      <c r="BE565" s="186"/>
      <c r="BF565" s="150"/>
      <c r="BG565" s="150"/>
    </row>
    <row r="566" spans="3:59" ht="14.6">
      <c r="C566" s="289"/>
      <c r="D566" s="150"/>
      <c r="E566" s="150"/>
      <c r="F566" s="150"/>
      <c r="G566" s="150"/>
      <c r="H566" s="150"/>
      <c r="I566" s="150"/>
      <c r="J566" s="150"/>
      <c r="K566" s="150"/>
      <c r="L566" s="150"/>
      <c r="M566" s="150"/>
      <c r="N566" s="150"/>
      <c r="O566" s="150"/>
      <c r="P566" s="150"/>
      <c r="Q566" s="150"/>
      <c r="R566" s="150"/>
      <c r="S566" s="150"/>
      <c r="T566" s="186"/>
      <c r="U566" s="186"/>
      <c r="V566" s="186"/>
      <c r="W566" s="186"/>
      <c r="X566" s="186"/>
      <c r="Y566" s="186"/>
      <c r="Z566" s="186"/>
      <c r="AA566" s="186"/>
      <c r="AB566" s="186"/>
      <c r="AC566" s="186"/>
      <c r="AD566" s="186"/>
      <c r="AF566" s="150"/>
      <c r="AG566" s="150"/>
      <c r="AH566" s="150"/>
      <c r="AI566" s="150"/>
      <c r="AJ566" s="150"/>
      <c r="AK566" s="150"/>
      <c r="AL566" s="150"/>
      <c r="AM566" s="150"/>
      <c r="AN566" s="150"/>
      <c r="AO566" s="150"/>
      <c r="AP566" s="150"/>
      <c r="AQ566" s="150"/>
      <c r="AT566" s="186"/>
      <c r="AU566" s="186"/>
      <c r="AV566" s="186"/>
      <c r="AW566" s="186"/>
      <c r="AX566" s="186"/>
      <c r="AY566" s="186"/>
      <c r="AZ566" s="186"/>
      <c r="BA566" s="186"/>
      <c r="BB566" s="186"/>
      <c r="BC566" s="186"/>
      <c r="BD566" s="186"/>
      <c r="BE566" s="186"/>
      <c r="BF566" s="150"/>
      <c r="BG566" s="150"/>
    </row>
    <row r="567" spans="3:59" ht="14.6">
      <c r="C567" s="289"/>
      <c r="D567" s="150"/>
      <c r="E567" s="150"/>
      <c r="F567" s="150"/>
      <c r="G567" s="150"/>
      <c r="H567" s="150"/>
      <c r="I567" s="150"/>
      <c r="J567" s="150"/>
      <c r="K567" s="150"/>
      <c r="L567" s="150"/>
      <c r="M567" s="150"/>
      <c r="N567" s="150"/>
      <c r="O567" s="150"/>
      <c r="P567" s="150"/>
      <c r="Q567" s="150"/>
      <c r="R567" s="150"/>
      <c r="S567" s="150"/>
      <c r="T567" s="186"/>
      <c r="U567" s="186"/>
      <c r="V567" s="186"/>
      <c r="W567" s="186"/>
      <c r="X567" s="186"/>
      <c r="Y567" s="186"/>
      <c r="Z567" s="186"/>
      <c r="AA567" s="186"/>
      <c r="AB567" s="186"/>
      <c r="AC567" s="186"/>
      <c r="AD567" s="186"/>
      <c r="AF567" s="150"/>
      <c r="AG567" s="150"/>
      <c r="AH567" s="150"/>
      <c r="AI567" s="150"/>
      <c r="AJ567" s="150"/>
      <c r="AK567" s="150"/>
      <c r="AL567" s="150"/>
      <c r="AM567" s="150"/>
      <c r="AN567" s="150"/>
      <c r="AO567" s="150"/>
      <c r="AP567" s="150"/>
      <c r="AQ567" s="150"/>
      <c r="AT567" s="186"/>
      <c r="AU567" s="186"/>
      <c r="AV567" s="186"/>
      <c r="AW567" s="186"/>
      <c r="AX567" s="186"/>
      <c r="AY567" s="186"/>
      <c r="AZ567" s="186"/>
      <c r="BA567" s="186"/>
      <c r="BB567" s="186"/>
      <c r="BC567" s="186"/>
      <c r="BD567" s="186"/>
      <c r="BE567" s="186"/>
      <c r="BF567" s="150"/>
      <c r="BG567" s="150"/>
    </row>
    <row r="568" spans="3:59" ht="14.6">
      <c r="C568" s="289"/>
      <c r="D568" s="150"/>
      <c r="E568" s="150"/>
      <c r="F568" s="150"/>
      <c r="G568" s="150"/>
      <c r="H568" s="150"/>
      <c r="I568" s="150"/>
      <c r="J568" s="150"/>
      <c r="K568" s="150"/>
      <c r="L568" s="150"/>
      <c r="M568" s="150"/>
      <c r="N568" s="150"/>
      <c r="O568" s="150"/>
      <c r="P568" s="150"/>
      <c r="Q568" s="150"/>
      <c r="R568" s="150"/>
      <c r="S568" s="150"/>
      <c r="T568" s="186"/>
      <c r="U568" s="186"/>
      <c r="V568" s="186"/>
      <c r="W568" s="186"/>
      <c r="X568" s="186"/>
      <c r="Y568" s="186"/>
      <c r="Z568" s="186"/>
      <c r="AA568" s="186"/>
      <c r="AB568" s="186"/>
      <c r="AC568" s="186"/>
      <c r="AD568" s="186"/>
      <c r="AF568" s="150"/>
      <c r="AG568" s="150"/>
      <c r="AH568" s="150"/>
      <c r="AI568" s="150"/>
      <c r="AJ568" s="150"/>
      <c r="AK568" s="150"/>
      <c r="AL568" s="150"/>
      <c r="AM568" s="150"/>
      <c r="AN568" s="150"/>
      <c r="AO568" s="150"/>
      <c r="AP568" s="150"/>
      <c r="AQ568" s="150"/>
      <c r="AT568" s="186"/>
      <c r="AU568" s="186"/>
      <c r="AV568" s="186"/>
      <c r="AW568" s="186"/>
      <c r="AX568" s="186"/>
      <c r="AY568" s="186"/>
      <c r="AZ568" s="186"/>
      <c r="BA568" s="186"/>
      <c r="BB568" s="186"/>
      <c r="BC568" s="186"/>
      <c r="BD568" s="186"/>
      <c r="BE568" s="186"/>
      <c r="BF568" s="150"/>
      <c r="BG568" s="150"/>
    </row>
    <row r="569" spans="3:59" ht="14.6">
      <c r="C569" s="289"/>
      <c r="D569" s="150"/>
      <c r="E569" s="150"/>
      <c r="F569" s="150"/>
      <c r="G569" s="150"/>
      <c r="H569" s="150"/>
      <c r="I569" s="150"/>
      <c r="J569" s="150"/>
      <c r="K569" s="150"/>
      <c r="L569" s="150"/>
      <c r="M569" s="150"/>
      <c r="N569" s="150"/>
      <c r="O569" s="150"/>
      <c r="P569" s="150"/>
      <c r="Q569" s="150"/>
      <c r="R569" s="150"/>
      <c r="S569" s="150"/>
      <c r="T569" s="186"/>
      <c r="U569" s="186"/>
      <c r="V569" s="186"/>
      <c r="W569" s="186"/>
      <c r="X569" s="186"/>
      <c r="Y569" s="186"/>
      <c r="Z569" s="186"/>
      <c r="AA569" s="186"/>
      <c r="AB569" s="186"/>
      <c r="AC569" s="186"/>
      <c r="AD569" s="186"/>
      <c r="AF569" s="150"/>
      <c r="AG569" s="150"/>
      <c r="AH569" s="150"/>
      <c r="AI569" s="150"/>
      <c r="AJ569" s="150"/>
      <c r="AK569" s="150"/>
      <c r="AL569" s="150"/>
      <c r="AM569" s="150"/>
      <c r="AN569" s="150"/>
      <c r="AO569" s="150"/>
      <c r="AP569" s="150"/>
      <c r="AQ569" s="150"/>
      <c r="AT569" s="186"/>
      <c r="AU569" s="186"/>
      <c r="AV569" s="186"/>
      <c r="AW569" s="186"/>
      <c r="AX569" s="186"/>
      <c r="AY569" s="186"/>
      <c r="AZ569" s="186"/>
      <c r="BA569" s="186"/>
      <c r="BB569" s="186"/>
      <c r="BC569" s="186"/>
      <c r="BD569" s="186"/>
      <c r="BE569" s="186"/>
      <c r="BF569" s="150"/>
      <c r="BG569" s="150"/>
    </row>
    <row r="570" spans="3:59" ht="14.6">
      <c r="C570" s="289"/>
      <c r="D570" s="150"/>
      <c r="E570" s="150"/>
      <c r="F570" s="150"/>
      <c r="G570" s="150"/>
      <c r="H570" s="150"/>
      <c r="I570" s="150"/>
      <c r="J570" s="150"/>
      <c r="K570" s="150"/>
      <c r="L570" s="150"/>
      <c r="M570" s="150"/>
      <c r="N570" s="150"/>
      <c r="O570" s="150"/>
      <c r="P570" s="150"/>
      <c r="Q570" s="150"/>
      <c r="R570" s="150"/>
      <c r="S570" s="150"/>
      <c r="T570" s="186"/>
      <c r="U570" s="186"/>
      <c r="V570" s="186"/>
      <c r="W570" s="186"/>
      <c r="X570" s="186"/>
      <c r="Y570" s="186"/>
      <c r="Z570" s="186"/>
      <c r="AA570" s="186"/>
      <c r="AB570" s="186"/>
      <c r="AC570" s="186"/>
      <c r="AD570" s="186"/>
      <c r="AF570" s="150"/>
      <c r="AG570" s="150"/>
      <c r="AH570" s="150"/>
      <c r="AI570" s="150"/>
      <c r="AJ570" s="150"/>
      <c r="AK570" s="150"/>
      <c r="AL570" s="150"/>
      <c r="AM570" s="150"/>
      <c r="AN570" s="150"/>
      <c r="AO570" s="150"/>
      <c r="AP570" s="150"/>
      <c r="AQ570" s="150"/>
      <c r="AT570" s="186"/>
      <c r="AU570" s="186"/>
      <c r="AV570" s="186"/>
      <c r="AW570" s="186"/>
      <c r="AX570" s="186"/>
      <c r="AY570" s="186"/>
      <c r="AZ570" s="186"/>
      <c r="BA570" s="186"/>
      <c r="BB570" s="186"/>
      <c r="BC570" s="186"/>
      <c r="BD570" s="186"/>
      <c r="BE570" s="186"/>
      <c r="BF570" s="150"/>
      <c r="BG570" s="150"/>
    </row>
    <row r="571" spans="3:59" ht="14.6">
      <c r="C571" s="289"/>
      <c r="D571" s="150"/>
      <c r="E571" s="150"/>
      <c r="F571" s="150"/>
      <c r="G571" s="150"/>
      <c r="H571" s="150"/>
      <c r="I571" s="150"/>
      <c r="J571" s="150"/>
      <c r="K571" s="150"/>
      <c r="L571" s="150"/>
      <c r="M571" s="150"/>
      <c r="N571" s="150"/>
      <c r="O571" s="150"/>
      <c r="P571" s="150"/>
      <c r="Q571" s="150"/>
      <c r="R571" s="150"/>
      <c r="S571" s="150"/>
      <c r="T571" s="186"/>
      <c r="U571" s="186"/>
      <c r="V571" s="186"/>
      <c r="W571" s="186"/>
      <c r="X571" s="186"/>
      <c r="Y571" s="186"/>
      <c r="Z571" s="186"/>
      <c r="AA571" s="186"/>
      <c r="AB571" s="186"/>
      <c r="AC571" s="186"/>
      <c r="AD571" s="186"/>
      <c r="AF571" s="150"/>
      <c r="AG571" s="150"/>
      <c r="AH571" s="150"/>
      <c r="AI571" s="150"/>
      <c r="AJ571" s="150"/>
      <c r="AK571" s="150"/>
      <c r="AL571" s="150"/>
      <c r="AM571" s="150"/>
      <c r="AN571" s="150"/>
      <c r="AO571" s="150"/>
      <c r="AP571" s="150"/>
      <c r="AQ571" s="150"/>
      <c r="AT571" s="186"/>
      <c r="AU571" s="186"/>
      <c r="AV571" s="186"/>
      <c r="AW571" s="186"/>
      <c r="AX571" s="186"/>
      <c r="AY571" s="186"/>
      <c r="AZ571" s="186"/>
      <c r="BA571" s="186"/>
      <c r="BB571" s="186"/>
      <c r="BC571" s="186"/>
      <c r="BD571" s="186"/>
      <c r="BE571" s="186"/>
      <c r="BF571" s="150"/>
      <c r="BG571" s="150"/>
    </row>
    <row r="572" spans="3:59" ht="14.6">
      <c r="C572" s="289"/>
      <c r="D572" s="150"/>
      <c r="E572" s="150"/>
      <c r="F572" s="150"/>
      <c r="G572" s="150"/>
      <c r="H572" s="150"/>
      <c r="I572" s="150"/>
      <c r="J572" s="150"/>
      <c r="K572" s="150"/>
      <c r="L572" s="150"/>
      <c r="M572" s="150"/>
      <c r="N572" s="150"/>
      <c r="O572" s="150"/>
      <c r="P572" s="150"/>
      <c r="Q572" s="150"/>
      <c r="R572" s="150"/>
      <c r="S572" s="150"/>
      <c r="T572" s="186"/>
      <c r="U572" s="186"/>
      <c r="V572" s="186"/>
      <c r="W572" s="186"/>
      <c r="X572" s="186"/>
      <c r="Y572" s="186"/>
      <c r="Z572" s="186"/>
      <c r="AA572" s="186"/>
      <c r="AB572" s="186"/>
      <c r="AC572" s="186"/>
      <c r="AD572" s="186"/>
      <c r="AF572" s="150"/>
      <c r="AG572" s="150"/>
      <c r="AH572" s="150"/>
      <c r="AI572" s="150"/>
      <c r="AJ572" s="150"/>
      <c r="AK572" s="150"/>
      <c r="AL572" s="150"/>
      <c r="AM572" s="150"/>
      <c r="AN572" s="150"/>
      <c r="AO572" s="150"/>
      <c r="AP572" s="150"/>
      <c r="AQ572" s="150"/>
      <c r="AT572" s="186"/>
      <c r="AU572" s="186"/>
      <c r="AV572" s="186"/>
      <c r="AW572" s="186"/>
      <c r="AX572" s="186"/>
      <c r="AY572" s="186"/>
      <c r="AZ572" s="186"/>
      <c r="BA572" s="186"/>
      <c r="BB572" s="186"/>
      <c r="BC572" s="186"/>
      <c r="BD572" s="186"/>
      <c r="BE572" s="186"/>
      <c r="BF572" s="150"/>
      <c r="BG572" s="150"/>
    </row>
    <row r="573" spans="3:59" ht="14.6">
      <c r="C573" s="289"/>
      <c r="D573" s="150"/>
      <c r="E573" s="150"/>
      <c r="F573" s="150"/>
      <c r="G573" s="150"/>
      <c r="H573" s="150"/>
      <c r="I573" s="150"/>
      <c r="J573" s="150"/>
      <c r="K573" s="150"/>
      <c r="L573" s="150"/>
      <c r="M573" s="150"/>
      <c r="N573" s="150"/>
      <c r="O573" s="150"/>
      <c r="P573" s="150"/>
      <c r="Q573" s="150"/>
      <c r="R573" s="150"/>
      <c r="S573" s="150"/>
      <c r="T573" s="186"/>
      <c r="U573" s="186"/>
      <c r="V573" s="186"/>
      <c r="W573" s="186"/>
      <c r="X573" s="186"/>
      <c r="Y573" s="186"/>
      <c r="Z573" s="186"/>
      <c r="AA573" s="186"/>
      <c r="AB573" s="186"/>
      <c r="AC573" s="186"/>
      <c r="AD573" s="186"/>
      <c r="AF573" s="150"/>
      <c r="AG573" s="150"/>
      <c r="AH573" s="150"/>
      <c r="AI573" s="150"/>
      <c r="AJ573" s="150"/>
      <c r="AK573" s="150"/>
      <c r="AL573" s="150"/>
      <c r="AM573" s="150"/>
      <c r="AN573" s="150"/>
      <c r="AO573" s="150"/>
      <c r="AP573" s="150"/>
      <c r="AQ573" s="150"/>
      <c r="AT573" s="186"/>
      <c r="AU573" s="186"/>
      <c r="AV573" s="186"/>
      <c r="AW573" s="186"/>
      <c r="AX573" s="186"/>
      <c r="AY573" s="186"/>
      <c r="AZ573" s="186"/>
      <c r="BA573" s="186"/>
      <c r="BB573" s="186"/>
      <c r="BC573" s="186"/>
      <c r="BD573" s="186"/>
      <c r="BE573" s="186"/>
      <c r="BF573" s="150"/>
      <c r="BG573" s="150"/>
    </row>
    <row r="574" spans="3:59" ht="14.6">
      <c r="C574" s="289"/>
      <c r="D574" s="150"/>
      <c r="E574" s="150"/>
      <c r="F574" s="150"/>
      <c r="G574" s="150"/>
      <c r="H574" s="150"/>
      <c r="I574" s="150"/>
      <c r="J574" s="150"/>
      <c r="K574" s="150"/>
      <c r="L574" s="150"/>
      <c r="M574" s="150"/>
      <c r="N574" s="150"/>
      <c r="O574" s="150"/>
      <c r="P574" s="150"/>
      <c r="Q574" s="150"/>
      <c r="R574" s="150"/>
      <c r="S574" s="150"/>
      <c r="T574" s="186"/>
      <c r="U574" s="186"/>
      <c r="V574" s="186"/>
      <c r="W574" s="186"/>
      <c r="X574" s="186"/>
      <c r="Y574" s="186"/>
      <c r="Z574" s="186"/>
      <c r="AA574" s="186"/>
      <c r="AB574" s="186"/>
      <c r="AC574" s="186"/>
      <c r="AD574" s="186"/>
      <c r="AF574" s="150"/>
      <c r="AG574" s="150"/>
      <c r="AH574" s="150"/>
      <c r="AI574" s="150"/>
      <c r="AJ574" s="150"/>
      <c r="AK574" s="150"/>
      <c r="AL574" s="150"/>
      <c r="AM574" s="150"/>
      <c r="AN574" s="150"/>
      <c r="AO574" s="150"/>
      <c r="AP574" s="150"/>
      <c r="AQ574" s="150"/>
      <c r="AT574" s="186"/>
      <c r="AU574" s="186"/>
      <c r="AV574" s="186"/>
      <c r="AW574" s="186"/>
      <c r="AX574" s="186"/>
      <c r="AY574" s="186"/>
      <c r="AZ574" s="186"/>
      <c r="BA574" s="186"/>
      <c r="BB574" s="186"/>
      <c r="BC574" s="186"/>
      <c r="BD574" s="186"/>
      <c r="BE574" s="186"/>
      <c r="BF574" s="150"/>
      <c r="BG574" s="150"/>
    </row>
    <row r="575" spans="3:59" ht="14.6">
      <c r="C575" s="289"/>
      <c r="D575" s="150"/>
      <c r="E575" s="150"/>
      <c r="F575" s="150"/>
      <c r="G575" s="150"/>
      <c r="H575" s="150"/>
      <c r="I575" s="150"/>
      <c r="J575" s="150"/>
      <c r="K575" s="150"/>
      <c r="L575" s="150"/>
      <c r="M575" s="150"/>
      <c r="N575" s="150"/>
      <c r="O575" s="150"/>
      <c r="P575" s="150"/>
      <c r="Q575" s="150"/>
      <c r="R575" s="150"/>
      <c r="S575" s="150"/>
      <c r="T575" s="186"/>
      <c r="U575" s="186"/>
      <c r="V575" s="186"/>
      <c r="W575" s="186"/>
      <c r="X575" s="186"/>
      <c r="Y575" s="186"/>
      <c r="Z575" s="186"/>
      <c r="AA575" s="186"/>
      <c r="AB575" s="186"/>
      <c r="AC575" s="186"/>
      <c r="AD575" s="186"/>
      <c r="AF575" s="150"/>
      <c r="AG575" s="150"/>
      <c r="AH575" s="150"/>
      <c r="AI575" s="150"/>
      <c r="AJ575" s="150"/>
      <c r="AK575" s="150"/>
      <c r="AL575" s="150"/>
      <c r="AM575" s="150"/>
      <c r="AN575" s="150"/>
      <c r="AO575" s="150"/>
      <c r="AP575" s="150"/>
      <c r="AQ575" s="150"/>
      <c r="AT575" s="186"/>
      <c r="AU575" s="186"/>
      <c r="AV575" s="186"/>
      <c r="AW575" s="186"/>
      <c r="AX575" s="186"/>
      <c r="AY575" s="186"/>
      <c r="AZ575" s="186"/>
      <c r="BA575" s="186"/>
      <c r="BB575" s="186"/>
      <c r="BC575" s="186"/>
      <c r="BD575" s="186"/>
      <c r="BE575" s="186"/>
      <c r="BF575" s="150"/>
      <c r="BG575" s="150"/>
    </row>
    <row r="576" spans="3:59" ht="14.6">
      <c r="C576" s="289"/>
      <c r="D576" s="150"/>
      <c r="E576" s="150"/>
      <c r="F576" s="150"/>
      <c r="G576" s="150"/>
      <c r="H576" s="150"/>
      <c r="I576" s="150"/>
      <c r="J576" s="150"/>
      <c r="K576" s="150"/>
      <c r="L576" s="150"/>
      <c r="M576" s="150"/>
      <c r="N576" s="150"/>
      <c r="O576" s="150"/>
      <c r="P576" s="150"/>
      <c r="Q576" s="150"/>
      <c r="R576" s="150"/>
      <c r="S576" s="150"/>
      <c r="T576" s="186"/>
      <c r="U576" s="186"/>
      <c r="V576" s="186"/>
      <c r="W576" s="186"/>
      <c r="X576" s="186"/>
      <c r="Y576" s="186"/>
      <c r="Z576" s="186"/>
      <c r="AA576" s="186"/>
      <c r="AB576" s="186"/>
      <c r="AC576" s="186"/>
      <c r="AD576" s="186"/>
      <c r="AF576" s="150"/>
      <c r="AG576" s="150"/>
      <c r="AH576" s="150"/>
      <c r="AI576" s="150"/>
      <c r="AJ576" s="150"/>
      <c r="AK576" s="150"/>
      <c r="AL576" s="150"/>
      <c r="AM576" s="150"/>
      <c r="AN576" s="150"/>
      <c r="AO576" s="150"/>
      <c r="AP576" s="150"/>
      <c r="AQ576" s="150"/>
      <c r="AT576" s="186"/>
      <c r="AU576" s="186"/>
      <c r="AV576" s="186"/>
      <c r="AW576" s="186"/>
      <c r="AX576" s="186"/>
      <c r="AY576" s="186"/>
      <c r="AZ576" s="186"/>
      <c r="BA576" s="186"/>
      <c r="BB576" s="186"/>
      <c r="BC576" s="186"/>
      <c r="BD576" s="186"/>
      <c r="BE576" s="186"/>
      <c r="BF576" s="150"/>
      <c r="BG576" s="150"/>
    </row>
    <row r="577" spans="3:59" ht="14.6">
      <c r="C577" s="289"/>
      <c r="D577" s="150"/>
      <c r="E577" s="150"/>
      <c r="F577" s="150"/>
      <c r="G577" s="150"/>
      <c r="H577" s="150"/>
      <c r="I577" s="150"/>
      <c r="J577" s="150"/>
      <c r="K577" s="150"/>
      <c r="L577" s="150"/>
      <c r="M577" s="150"/>
      <c r="N577" s="150"/>
      <c r="O577" s="150"/>
      <c r="P577" s="150"/>
      <c r="Q577" s="150"/>
      <c r="R577" s="150"/>
      <c r="S577" s="150"/>
      <c r="T577" s="186"/>
      <c r="U577" s="186"/>
      <c r="V577" s="186"/>
      <c r="W577" s="186"/>
      <c r="X577" s="186"/>
      <c r="Y577" s="186"/>
      <c r="Z577" s="186"/>
      <c r="AA577" s="186"/>
      <c r="AB577" s="186"/>
      <c r="AC577" s="186"/>
      <c r="AD577" s="186"/>
      <c r="AF577" s="150"/>
      <c r="AG577" s="150"/>
      <c r="AH577" s="150"/>
      <c r="AI577" s="150"/>
      <c r="AJ577" s="150"/>
      <c r="AK577" s="150"/>
      <c r="AL577" s="150"/>
      <c r="AM577" s="150"/>
      <c r="AN577" s="150"/>
      <c r="AO577" s="150"/>
      <c r="AP577" s="150"/>
      <c r="AQ577" s="150"/>
      <c r="AT577" s="186"/>
      <c r="AU577" s="186"/>
      <c r="AV577" s="186"/>
      <c r="AW577" s="186"/>
      <c r="AX577" s="186"/>
      <c r="AY577" s="186"/>
      <c r="AZ577" s="186"/>
      <c r="BA577" s="186"/>
      <c r="BB577" s="186"/>
      <c r="BC577" s="186"/>
      <c r="BD577" s="186"/>
      <c r="BE577" s="186"/>
      <c r="BF577" s="150"/>
      <c r="BG577" s="150"/>
    </row>
    <row r="578" spans="3:59" ht="14.6">
      <c r="C578" s="289"/>
      <c r="D578" s="150"/>
      <c r="E578" s="150"/>
      <c r="F578" s="150"/>
      <c r="G578" s="150"/>
      <c r="H578" s="150"/>
      <c r="I578" s="150"/>
      <c r="J578" s="150"/>
      <c r="K578" s="150"/>
      <c r="L578" s="150"/>
      <c r="M578" s="150"/>
      <c r="N578" s="150"/>
      <c r="O578" s="150"/>
      <c r="P578" s="150"/>
      <c r="Q578" s="150"/>
      <c r="R578" s="150"/>
      <c r="S578" s="150"/>
      <c r="T578" s="186"/>
      <c r="U578" s="186"/>
      <c r="V578" s="186"/>
      <c r="W578" s="186"/>
      <c r="X578" s="186"/>
      <c r="Y578" s="186"/>
      <c r="Z578" s="186"/>
      <c r="AA578" s="186"/>
      <c r="AB578" s="186"/>
      <c r="AC578" s="186"/>
      <c r="AD578" s="186"/>
      <c r="AF578" s="150"/>
      <c r="AG578" s="150"/>
      <c r="AH578" s="150"/>
      <c r="AI578" s="150"/>
      <c r="AJ578" s="150"/>
      <c r="AK578" s="150"/>
      <c r="AL578" s="150"/>
      <c r="AM578" s="150"/>
      <c r="AN578" s="150"/>
      <c r="AO578" s="150"/>
      <c r="AP578" s="150"/>
      <c r="AQ578" s="150"/>
      <c r="AT578" s="186"/>
      <c r="AU578" s="186"/>
      <c r="AV578" s="186"/>
      <c r="AW578" s="186"/>
      <c r="AX578" s="186"/>
      <c r="AY578" s="186"/>
      <c r="AZ578" s="186"/>
      <c r="BA578" s="186"/>
      <c r="BB578" s="186"/>
      <c r="BC578" s="186"/>
      <c r="BD578" s="186"/>
      <c r="BE578" s="186"/>
      <c r="BF578" s="150"/>
      <c r="BG578" s="150"/>
    </row>
    <row r="579" spans="3:59" ht="14.6">
      <c r="C579" s="289"/>
      <c r="D579" s="150"/>
      <c r="E579" s="150"/>
      <c r="F579" s="150"/>
      <c r="G579" s="150"/>
      <c r="H579" s="150"/>
      <c r="I579" s="150"/>
      <c r="J579" s="150"/>
      <c r="K579" s="150"/>
      <c r="L579" s="150"/>
      <c r="M579" s="150"/>
      <c r="N579" s="150"/>
      <c r="O579" s="150"/>
      <c r="P579" s="150"/>
      <c r="Q579" s="150"/>
      <c r="R579" s="150"/>
      <c r="S579" s="150"/>
      <c r="T579" s="186"/>
      <c r="U579" s="186"/>
      <c r="V579" s="186"/>
      <c r="W579" s="186"/>
      <c r="X579" s="186"/>
      <c r="Y579" s="186"/>
      <c r="Z579" s="186"/>
      <c r="AA579" s="186"/>
      <c r="AB579" s="186"/>
      <c r="AC579" s="186"/>
      <c r="AD579" s="186"/>
      <c r="AF579" s="150"/>
      <c r="AG579" s="150"/>
      <c r="AH579" s="150"/>
      <c r="AI579" s="150"/>
      <c r="AJ579" s="150"/>
      <c r="AK579" s="150"/>
      <c r="AL579" s="150"/>
      <c r="AM579" s="150"/>
      <c r="AN579" s="150"/>
      <c r="AO579" s="150"/>
      <c r="AP579" s="150"/>
      <c r="AQ579" s="150"/>
      <c r="AT579" s="186"/>
      <c r="AU579" s="186"/>
      <c r="AV579" s="186"/>
      <c r="AW579" s="186"/>
      <c r="AX579" s="186"/>
      <c r="AY579" s="186"/>
      <c r="AZ579" s="186"/>
      <c r="BA579" s="186"/>
      <c r="BB579" s="186"/>
      <c r="BC579" s="186"/>
      <c r="BD579" s="186"/>
      <c r="BE579" s="186"/>
      <c r="BF579" s="150"/>
      <c r="BG579" s="150"/>
    </row>
    <row r="580" spans="3:59" ht="14.6">
      <c r="C580" s="289"/>
      <c r="D580" s="150"/>
      <c r="E580" s="150"/>
      <c r="F580" s="150"/>
      <c r="G580" s="150"/>
      <c r="H580" s="150"/>
      <c r="I580" s="150"/>
      <c r="J580" s="150"/>
      <c r="K580" s="150"/>
      <c r="L580" s="150"/>
      <c r="M580" s="150"/>
      <c r="N580" s="150"/>
      <c r="O580" s="150"/>
      <c r="P580" s="150"/>
      <c r="Q580" s="150"/>
      <c r="R580" s="150"/>
      <c r="S580" s="150"/>
      <c r="T580" s="186"/>
      <c r="U580" s="186"/>
      <c r="V580" s="186"/>
      <c r="W580" s="186"/>
      <c r="X580" s="186"/>
      <c r="Y580" s="186"/>
      <c r="Z580" s="186"/>
      <c r="AA580" s="186"/>
      <c r="AB580" s="186"/>
      <c r="AC580" s="186"/>
      <c r="AD580" s="186"/>
      <c r="AF580" s="150"/>
      <c r="AG580" s="150"/>
      <c r="AH580" s="150"/>
      <c r="AI580" s="150"/>
      <c r="AJ580" s="150"/>
      <c r="AK580" s="150"/>
      <c r="AL580" s="150"/>
      <c r="AM580" s="150"/>
      <c r="AN580" s="150"/>
      <c r="AO580" s="150"/>
      <c r="AP580" s="150"/>
      <c r="AQ580" s="150"/>
      <c r="AT580" s="186"/>
      <c r="AU580" s="186"/>
      <c r="AV580" s="186"/>
      <c r="AW580" s="186"/>
      <c r="AX580" s="186"/>
      <c r="AY580" s="186"/>
      <c r="AZ580" s="186"/>
      <c r="BA580" s="186"/>
      <c r="BB580" s="186"/>
      <c r="BC580" s="186"/>
      <c r="BD580" s="186"/>
      <c r="BE580" s="186"/>
      <c r="BF580" s="150"/>
      <c r="BG580" s="150"/>
    </row>
    <row r="581" spans="3:59" ht="14.6">
      <c r="C581" s="289"/>
      <c r="D581" s="150"/>
      <c r="E581" s="150"/>
      <c r="F581" s="150"/>
      <c r="G581" s="150"/>
      <c r="H581" s="150"/>
      <c r="I581" s="150"/>
      <c r="J581" s="150"/>
      <c r="K581" s="150"/>
      <c r="L581" s="150"/>
      <c r="M581" s="150"/>
      <c r="N581" s="150"/>
      <c r="O581" s="150"/>
      <c r="P581" s="150"/>
      <c r="Q581" s="150"/>
      <c r="R581" s="150"/>
      <c r="S581" s="150"/>
      <c r="T581" s="186"/>
      <c r="U581" s="186"/>
      <c r="V581" s="186"/>
      <c r="W581" s="186"/>
      <c r="X581" s="186"/>
      <c r="Y581" s="186"/>
      <c r="Z581" s="186"/>
      <c r="AA581" s="186"/>
      <c r="AB581" s="186"/>
      <c r="AC581" s="186"/>
      <c r="AD581" s="186"/>
      <c r="AF581" s="150"/>
      <c r="AG581" s="150"/>
      <c r="AH581" s="150"/>
      <c r="AI581" s="150"/>
      <c r="AJ581" s="150"/>
      <c r="AK581" s="150"/>
      <c r="AL581" s="150"/>
      <c r="AM581" s="150"/>
      <c r="AN581" s="150"/>
      <c r="AO581" s="150"/>
      <c r="AP581" s="150"/>
      <c r="AQ581" s="150"/>
      <c r="AT581" s="186"/>
      <c r="AU581" s="186"/>
      <c r="AV581" s="186"/>
      <c r="AW581" s="186"/>
      <c r="AX581" s="186"/>
      <c r="AY581" s="186"/>
      <c r="AZ581" s="186"/>
      <c r="BA581" s="186"/>
      <c r="BB581" s="186"/>
      <c r="BC581" s="186"/>
      <c r="BD581" s="186"/>
      <c r="BE581" s="186"/>
      <c r="BF581" s="150"/>
      <c r="BG581" s="150"/>
    </row>
    <row r="582" spans="3:59" ht="14.6">
      <c r="C582" s="289"/>
      <c r="D582" s="150"/>
      <c r="E582" s="150"/>
      <c r="F582" s="150"/>
      <c r="G582" s="150"/>
      <c r="H582" s="150"/>
      <c r="I582" s="150"/>
      <c r="J582" s="150"/>
      <c r="K582" s="150"/>
      <c r="L582" s="150"/>
      <c r="M582" s="150"/>
      <c r="N582" s="150"/>
      <c r="O582" s="150"/>
      <c r="P582" s="150"/>
      <c r="Q582" s="150"/>
      <c r="R582" s="150"/>
      <c r="S582" s="150"/>
      <c r="T582" s="186"/>
      <c r="U582" s="186"/>
      <c r="V582" s="186"/>
      <c r="W582" s="186"/>
      <c r="X582" s="186"/>
      <c r="Y582" s="186"/>
      <c r="Z582" s="186"/>
      <c r="AA582" s="186"/>
      <c r="AB582" s="186"/>
      <c r="AC582" s="186"/>
      <c r="AD582" s="186"/>
      <c r="AF582" s="150"/>
      <c r="AG582" s="150"/>
      <c r="AH582" s="150"/>
      <c r="AI582" s="150"/>
      <c r="AJ582" s="150"/>
      <c r="AK582" s="150"/>
      <c r="AL582" s="150"/>
      <c r="AM582" s="150"/>
      <c r="AN582" s="150"/>
      <c r="AO582" s="150"/>
      <c r="AP582" s="150"/>
      <c r="AQ582" s="150"/>
      <c r="AT582" s="186"/>
      <c r="AU582" s="186"/>
      <c r="AV582" s="186"/>
      <c r="AW582" s="186"/>
      <c r="AX582" s="186"/>
      <c r="AY582" s="186"/>
      <c r="AZ582" s="186"/>
      <c r="BA582" s="186"/>
      <c r="BB582" s="186"/>
      <c r="BC582" s="186"/>
      <c r="BD582" s="186"/>
      <c r="BE582" s="186"/>
      <c r="BF582" s="150"/>
      <c r="BG582" s="150"/>
    </row>
    <row r="583" spans="3:59" ht="14.6">
      <c r="C583" s="289"/>
      <c r="D583" s="150"/>
      <c r="E583" s="150"/>
      <c r="F583" s="150"/>
      <c r="G583" s="150"/>
      <c r="H583" s="150"/>
      <c r="I583" s="150"/>
      <c r="J583" s="150"/>
      <c r="K583" s="150"/>
      <c r="L583" s="150"/>
      <c r="M583" s="150"/>
      <c r="N583" s="150"/>
      <c r="O583" s="150"/>
      <c r="P583" s="150"/>
      <c r="Q583" s="150"/>
      <c r="R583" s="150"/>
      <c r="S583" s="150"/>
      <c r="T583" s="186"/>
      <c r="U583" s="186"/>
      <c r="V583" s="186"/>
      <c r="W583" s="186"/>
      <c r="X583" s="186"/>
      <c r="Y583" s="186"/>
      <c r="Z583" s="186"/>
      <c r="AA583" s="186"/>
      <c r="AB583" s="186"/>
      <c r="AC583" s="186"/>
      <c r="AD583" s="186"/>
      <c r="AF583" s="150"/>
      <c r="AG583" s="150"/>
      <c r="AH583" s="150"/>
      <c r="AI583" s="150"/>
      <c r="AJ583" s="150"/>
      <c r="AK583" s="150"/>
      <c r="AL583" s="150"/>
      <c r="AM583" s="150"/>
      <c r="AN583" s="150"/>
      <c r="AO583" s="150"/>
      <c r="AP583" s="150"/>
      <c r="AQ583" s="150"/>
      <c r="AT583" s="186"/>
      <c r="AU583" s="186"/>
      <c r="AV583" s="186"/>
      <c r="AW583" s="186"/>
      <c r="AX583" s="186"/>
      <c r="AY583" s="186"/>
      <c r="AZ583" s="186"/>
      <c r="BA583" s="186"/>
      <c r="BB583" s="186"/>
      <c r="BC583" s="186"/>
      <c r="BD583" s="186"/>
      <c r="BE583" s="186"/>
      <c r="BF583" s="150"/>
      <c r="BG583" s="150"/>
    </row>
    <row r="584" spans="3:59" ht="14.6">
      <c r="C584" s="289"/>
      <c r="D584" s="150"/>
      <c r="E584" s="150"/>
      <c r="F584" s="150"/>
      <c r="G584" s="150"/>
      <c r="H584" s="150"/>
      <c r="I584" s="150"/>
      <c r="J584" s="150"/>
      <c r="K584" s="150"/>
      <c r="L584" s="150"/>
      <c r="M584" s="150"/>
      <c r="N584" s="150"/>
      <c r="O584" s="150"/>
      <c r="P584" s="150"/>
      <c r="Q584" s="150"/>
      <c r="R584" s="150"/>
      <c r="S584" s="150"/>
      <c r="T584" s="186"/>
      <c r="U584" s="186"/>
      <c r="V584" s="186"/>
      <c r="W584" s="186"/>
      <c r="X584" s="186"/>
      <c r="Y584" s="186"/>
      <c r="Z584" s="186"/>
      <c r="AA584" s="186"/>
      <c r="AB584" s="186"/>
      <c r="AC584" s="186"/>
      <c r="AD584" s="186"/>
      <c r="AF584" s="150"/>
      <c r="AG584" s="150"/>
      <c r="AH584" s="150"/>
      <c r="AI584" s="150"/>
      <c r="AJ584" s="150"/>
      <c r="AK584" s="150"/>
      <c r="AL584" s="150"/>
      <c r="AM584" s="150"/>
      <c r="AN584" s="150"/>
      <c r="AO584" s="150"/>
      <c r="AP584" s="150"/>
      <c r="AQ584" s="150"/>
      <c r="AT584" s="186"/>
      <c r="AU584" s="186"/>
      <c r="AV584" s="186"/>
      <c r="AW584" s="186"/>
      <c r="AX584" s="186"/>
      <c r="AY584" s="186"/>
      <c r="AZ584" s="186"/>
      <c r="BA584" s="186"/>
      <c r="BB584" s="186"/>
      <c r="BC584" s="186"/>
      <c r="BD584" s="186"/>
      <c r="BE584" s="186"/>
      <c r="BF584" s="150"/>
      <c r="BG584" s="150"/>
    </row>
    <row r="585" spans="3:59" ht="14.6">
      <c r="C585" s="289"/>
      <c r="D585" s="150"/>
      <c r="E585" s="150"/>
      <c r="F585" s="150"/>
      <c r="G585" s="150"/>
      <c r="H585" s="150"/>
      <c r="I585" s="150"/>
      <c r="J585" s="150"/>
      <c r="K585" s="150"/>
      <c r="L585" s="150"/>
      <c r="M585" s="150"/>
      <c r="N585" s="150"/>
      <c r="O585" s="150"/>
      <c r="P585" s="150"/>
      <c r="Q585" s="150"/>
      <c r="R585" s="150"/>
      <c r="S585" s="150"/>
      <c r="T585" s="186"/>
      <c r="U585" s="186"/>
      <c r="V585" s="186"/>
      <c r="W585" s="186"/>
      <c r="X585" s="186"/>
      <c r="Y585" s="186"/>
      <c r="Z585" s="186"/>
      <c r="AA585" s="186"/>
      <c r="AB585" s="186"/>
      <c r="AC585" s="186"/>
      <c r="AD585" s="186"/>
      <c r="AF585" s="150"/>
      <c r="AG585" s="150"/>
      <c r="AH585" s="150"/>
      <c r="AI585" s="150"/>
      <c r="AJ585" s="150"/>
      <c r="AK585" s="150"/>
      <c r="AL585" s="150"/>
      <c r="AM585" s="150"/>
      <c r="AN585" s="150"/>
      <c r="AO585" s="150"/>
      <c r="AP585" s="150"/>
      <c r="AQ585" s="150"/>
      <c r="AT585" s="186"/>
      <c r="AU585" s="186"/>
      <c r="AV585" s="186"/>
      <c r="AW585" s="186"/>
      <c r="AX585" s="186"/>
      <c r="AY585" s="186"/>
      <c r="AZ585" s="186"/>
      <c r="BA585" s="186"/>
      <c r="BB585" s="186"/>
      <c r="BC585" s="186"/>
      <c r="BD585" s="186"/>
      <c r="BE585" s="186"/>
      <c r="BF585" s="150"/>
      <c r="BG585" s="150"/>
    </row>
    <row r="586" spans="3:59" ht="14.6">
      <c r="C586" s="289"/>
      <c r="D586" s="150"/>
      <c r="E586" s="150"/>
      <c r="F586" s="150"/>
      <c r="G586" s="150"/>
      <c r="H586" s="150"/>
      <c r="I586" s="150"/>
      <c r="J586" s="150"/>
      <c r="K586" s="150"/>
      <c r="L586" s="150"/>
      <c r="M586" s="150"/>
      <c r="N586" s="150"/>
      <c r="O586" s="150"/>
      <c r="P586" s="150"/>
      <c r="Q586" s="150"/>
      <c r="R586" s="150"/>
      <c r="S586" s="150"/>
      <c r="T586" s="186"/>
      <c r="U586" s="186"/>
      <c r="V586" s="186"/>
      <c r="W586" s="186"/>
      <c r="X586" s="186"/>
      <c r="Y586" s="186"/>
      <c r="Z586" s="186"/>
      <c r="AA586" s="186"/>
      <c r="AB586" s="186"/>
      <c r="AC586" s="186"/>
      <c r="AD586" s="186"/>
      <c r="AF586" s="150"/>
      <c r="AG586" s="150"/>
      <c r="AH586" s="150"/>
      <c r="AI586" s="150"/>
      <c r="AJ586" s="150"/>
      <c r="AK586" s="150"/>
      <c r="AL586" s="150"/>
      <c r="AM586" s="150"/>
      <c r="AN586" s="150"/>
      <c r="AO586" s="150"/>
      <c r="AP586" s="150"/>
      <c r="AQ586" s="150"/>
      <c r="AT586" s="186"/>
      <c r="AU586" s="186"/>
      <c r="AV586" s="186"/>
      <c r="AW586" s="186"/>
      <c r="AX586" s="186"/>
      <c r="AY586" s="186"/>
      <c r="AZ586" s="186"/>
      <c r="BA586" s="186"/>
      <c r="BB586" s="186"/>
      <c r="BC586" s="186"/>
      <c r="BD586" s="186"/>
      <c r="BE586" s="186"/>
      <c r="BF586" s="150"/>
      <c r="BG586" s="150"/>
    </row>
    <row r="587" spans="3:59" ht="14.6">
      <c r="C587" s="289"/>
      <c r="D587" s="150"/>
      <c r="E587" s="150"/>
      <c r="F587" s="150"/>
      <c r="G587" s="150"/>
      <c r="H587" s="150"/>
      <c r="I587" s="150"/>
      <c r="J587" s="150"/>
      <c r="K587" s="150"/>
      <c r="L587" s="150"/>
      <c r="M587" s="150"/>
      <c r="N587" s="150"/>
      <c r="O587" s="150"/>
      <c r="P587" s="150"/>
      <c r="Q587" s="150"/>
      <c r="R587" s="150"/>
      <c r="S587" s="150"/>
      <c r="T587" s="186"/>
      <c r="U587" s="186"/>
      <c r="V587" s="186"/>
      <c r="W587" s="186"/>
      <c r="X587" s="186"/>
      <c r="Y587" s="186"/>
      <c r="Z587" s="186"/>
      <c r="AA587" s="186"/>
      <c r="AB587" s="186"/>
      <c r="AC587" s="186"/>
      <c r="AD587" s="186"/>
      <c r="AF587" s="150"/>
      <c r="AG587" s="150"/>
      <c r="AH587" s="150"/>
      <c r="AI587" s="150"/>
      <c r="AJ587" s="150"/>
      <c r="AK587" s="150"/>
      <c r="AL587" s="150"/>
      <c r="AM587" s="150"/>
      <c r="AN587" s="150"/>
      <c r="AO587" s="150"/>
      <c r="AP587" s="150"/>
      <c r="AQ587" s="150"/>
      <c r="AT587" s="186"/>
      <c r="AU587" s="186"/>
      <c r="AV587" s="186"/>
      <c r="AW587" s="186"/>
      <c r="AX587" s="186"/>
      <c r="AY587" s="186"/>
      <c r="AZ587" s="186"/>
      <c r="BA587" s="186"/>
      <c r="BB587" s="186"/>
      <c r="BC587" s="186"/>
      <c r="BD587" s="186"/>
      <c r="BE587" s="186"/>
      <c r="BF587" s="150"/>
      <c r="BG587" s="150"/>
    </row>
    <row r="588" spans="3:59" ht="14.6">
      <c r="C588" s="289"/>
      <c r="D588" s="150"/>
      <c r="E588" s="150"/>
      <c r="F588" s="150"/>
      <c r="G588" s="150"/>
      <c r="H588" s="150"/>
      <c r="I588" s="150"/>
      <c r="J588" s="150"/>
      <c r="K588" s="150"/>
      <c r="L588" s="150"/>
      <c r="M588" s="150"/>
      <c r="N588" s="150"/>
      <c r="O588" s="150"/>
      <c r="P588" s="150"/>
      <c r="Q588" s="150"/>
      <c r="R588" s="150"/>
      <c r="S588" s="150"/>
      <c r="T588" s="186"/>
      <c r="U588" s="186"/>
      <c r="V588" s="186"/>
      <c r="W588" s="186"/>
      <c r="X588" s="186"/>
      <c r="Y588" s="186"/>
      <c r="Z588" s="186"/>
      <c r="AA588" s="186"/>
      <c r="AB588" s="186"/>
      <c r="AC588" s="186"/>
      <c r="AD588" s="186"/>
      <c r="AF588" s="150"/>
      <c r="AG588" s="150"/>
      <c r="AH588" s="150"/>
      <c r="AI588" s="150"/>
      <c r="AJ588" s="150"/>
      <c r="AK588" s="150"/>
      <c r="AL588" s="150"/>
      <c r="AM588" s="150"/>
      <c r="AN588" s="150"/>
      <c r="AO588" s="150"/>
      <c r="AP588" s="150"/>
      <c r="AQ588" s="150"/>
      <c r="AT588" s="186"/>
      <c r="AU588" s="186"/>
      <c r="AV588" s="186"/>
      <c r="AW588" s="186"/>
      <c r="AX588" s="186"/>
      <c r="AY588" s="186"/>
      <c r="AZ588" s="186"/>
      <c r="BA588" s="186"/>
      <c r="BB588" s="186"/>
      <c r="BC588" s="186"/>
      <c r="BD588" s="186"/>
      <c r="BE588" s="186"/>
      <c r="BF588" s="150"/>
      <c r="BG588" s="150"/>
    </row>
    <row r="589" spans="3:59" ht="14.6">
      <c r="C589" s="289"/>
      <c r="D589" s="150"/>
      <c r="E589" s="150"/>
      <c r="F589" s="150"/>
      <c r="G589" s="150"/>
      <c r="H589" s="150"/>
      <c r="I589" s="150"/>
      <c r="J589" s="150"/>
      <c r="K589" s="150"/>
      <c r="L589" s="150"/>
      <c r="M589" s="150"/>
      <c r="N589" s="150"/>
      <c r="O589" s="150"/>
      <c r="P589" s="150"/>
      <c r="Q589" s="150"/>
      <c r="R589" s="150"/>
      <c r="S589" s="150"/>
      <c r="T589" s="186"/>
      <c r="U589" s="186"/>
      <c r="V589" s="186"/>
      <c r="W589" s="186"/>
      <c r="X589" s="186"/>
      <c r="Y589" s="186"/>
      <c r="Z589" s="186"/>
      <c r="AA589" s="186"/>
      <c r="AB589" s="186"/>
      <c r="AC589" s="186"/>
      <c r="AD589" s="186"/>
      <c r="AF589" s="150"/>
      <c r="AG589" s="150"/>
      <c r="AH589" s="150"/>
      <c r="AI589" s="150"/>
      <c r="AJ589" s="150"/>
      <c r="AK589" s="150"/>
      <c r="AL589" s="150"/>
      <c r="AM589" s="150"/>
      <c r="AN589" s="150"/>
      <c r="AO589" s="150"/>
      <c r="AP589" s="150"/>
      <c r="AQ589" s="150"/>
      <c r="AT589" s="186"/>
      <c r="AU589" s="186"/>
      <c r="AV589" s="186"/>
      <c r="AW589" s="186"/>
      <c r="AX589" s="186"/>
      <c r="AY589" s="186"/>
      <c r="AZ589" s="186"/>
      <c r="BA589" s="186"/>
      <c r="BB589" s="186"/>
      <c r="BC589" s="186"/>
      <c r="BD589" s="186"/>
      <c r="BE589" s="186"/>
      <c r="BF589" s="150"/>
      <c r="BG589" s="150"/>
    </row>
    <row r="590" spans="3:59" ht="14.6">
      <c r="C590" s="289"/>
      <c r="D590" s="150"/>
      <c r="E590" s="150"/>
      <c r="F590" s="150"/>
      <c r="G590" s="150"/>
      <c r="H590" s="150"/>
      <c r="I590" s="150"/>
      <c r="J590" s="150"/>
      <c r="K590" s="150"/>
      <c r="L590" s="150"/>
      <c r="M590" s="150"/>
      <c r="N590" s="150"/>
      <c r="O590" s="150"/>
      <c r="P590" s="150"/>
      <c r="Q590" s="150"/>
      <c r="R590" s="150"/>
      <c r="S590" s="150"/>
      <c r="T590" s="186"/>
      <c r="U590" s="186"/>
      <c r="V590" s="186"/>
      <c r="W590" s="186"/>
      <c r="X590" s="186"/>
      <c r="Y590" s="186"/>
      <c r="Z590" s="186"/>
      <c r="AA590" s="186"/>
      <c r="AB590" s="186"/>
      <c r="AC590" s="186"/>
      <c r="AD590" s="186"/>
      <c r="AF590" s="150"/>
      <c r="AG590" s="150"/>
      <c r="AH590" s="150"/>
      <c r="AI590" s="150"/>
      <c r="AJ590" s="150"/>
      <c r="AK590" s="150"/>
      <c r="AL590" s="150"/>
      <c r="AM590" s="150"/>
      <c r="AN590" s="150"/>
      <c r="AO590" s="150"/>
      <c r="AP590" s="150"/>
      <c r="AQ590" s="150"/>
      <c r="AT590" s="186"/>
      <c r="AU590" s="186"/>
      <c r="AV590" s="186"/>
      <c r="AW590" s="186"/>
      <c r="AX590" s="186"/>
      <c r="AY590" s="186"/>
      <c r="AZ590" s="186"/>
      <c r="BA590" s="186"/>
      <c r="BB590" s="186"/>
      <c r="BC590" s="186"/>
      <c r="BD590" s="186"/>
      <c r="BE590" s="186"/>
      <c r="BF590" s="150"/>
      <c r="BG590" s="150"/>
    </row>
    <row r="591" spans="3:59" ht="14.6">
      <c r="C591" s="289"/>
      <c r="D591" s="150"/>
      <c r="E591" s="150"/>
      <c r="F591" s="150"/>
      <c r="G591" s="150"/>
      <c r="H591" s="150"/>
      <c r="I591" s="150"/>
      <c r="J591" s="150"/>
      <c r="K591" s="150"/>
      <c r="L591" s="150"/>
      <c r="M591" s="150"/>
      <c r="N591" s="150"/>
      <c r="O591" s="150"/>
      <c r="P591" s="150"/>
      <c r="Q591" s="150"/>
      <c r="R591" s="150"/>
      <c r="S591" s="150"/>
      <c r="T591" s="186"/>
      <c r="U591" s="186"/>
      <c r="V591" s="186"/>
      <c r="W591" s="186"/>
      <c r="X591" s="186"/>
      <c r="Y591" s="186"/>
      <c r="Z591" s="186"/>
      <c r="AA591" s="186"/>
      <c r="AB591" s="186"/>
      <c r="AC591" s="186"/>
      <c r="AD591" s="186"/>
      <c r="AF591" s="150"/>
      <c r="AG591" s="150"/>
      <c r="AH591" s="150"/>
      <c r="AI591" s="150"/>
      <c r="AJ591" s="150"/>
      <c r="AK591" s="150"/>
      <c r="AL591" s="150"/>
      <c r="AM591" s="150"/>
      <c r="AN591" s="150"/>
      <c r="AO591" s="150"/>
      <c r="AP591" s="150"/>
      <c r="AQ591" s="150"/>
      <c r="AT591" s="186"/>
      <c r="AU591" s="186"/>
      <c r="AV591" s="186"/>
      <c r="AW591" s="186"/>
      <c r="AX591" s="186"/>
      <c r="AY591" s="186"/>
      <c r="AZ591" s="186"/>
      <c r="BA591" s="186"/>
      <c r="BB591" s="186"/>
      <c r="BC591" s="186"/>
      <c r="BD591" s="186"/>
      <c r="BE591" s="186"/>
      <c r="BF591" s="150"/>
      <c r="BG591" s="150"/>
    </row>
    <row r="592" spans="3:59" ht="14.6">
      <c r="C592" s="289"/>
      <c r="D592" s="150"/>
      <c r="E592" s="150"/>
      <c r="F592" s="150"/>
      <c r="G592" s="150"/>
      <c r="H592" s="150"/>
      <c r="I592" s="150"/>
      <c r="J592" s="150"/>
      <c r="K592" s="150"/>
      <c r="L592" s="150"/>
      <c r="M592" s="150"/>
      <c r="N592" s="150"/>
      <c r="O592" s="150"/>
      <c r="P592" s="150"/>
      <c r="Q592" s="150"/>
      <c r="R592" s="150"/>
      <c r="S592" s="150"/>
      <c r="T592" s="186"/>
      <c r="U592" s="186"/>
      <c r="V592" s="186"/>
      <c r="W592" s="186"/>
      <c r="X592" s="186"/>
      <c r="Y592" s="186"/>
      <c r="Z592" s="186"/>
      <c r="AA592" s="186"/>
      <c r="AB592" s="186"/>
      <c r="AC592" s="186"/>
      <c r="AD592" s="186"/>
      <c r="AF592" s="150"/>
      <c r="AG592" s="150"/>
      <c r="AH592" s="150"/>
      <c r="AI592" s="150"/>
      <c r="AJ592" s="150"/>
      <c r="AK592" s="150"/>
      <c r="AL592" s="150"/>
      <c r="AM592" s="150"/>
      <c r="AN592" s="150"/>
      <c r="AO592" s="150"/>
      <c r="AP592" s="150"/>
      <c r="AQ592" s="150"/>
      <c r="AT592" s="186"/>
      <c r="AU592" s="186"/>
      <c r="AV592" s="186"/>
      <c r="AW592" s="186"/>
      <c r="AX592" s="186"/>
      <c r="AY592" s="186"/>
      <c r="AZ592" s="186"/>
      <c r="BA592" s="186"/>
      <c r="BB592" s="186"/>
      <c r="BC592" s="186"/>
      <c r="BD592" s="186"/>
      <c r="BE592" s="186"/>
      <c r="BF592" s="150"/>
      <c r="BG592" s="150"/>
    </row>
    <row r="593" spans="3:59" ht="14.6">
      <c r="C593" s="289"/>
      <c r="D593" s="150"/>
      <c r="E593" s="150"/>
      <c r="F593" s="150"/>
      <c r="G593" s="150"/>
      <c r="H593" s="150"/>
      <c r="I593" s="150"/>
      <c r="J593" s="150"/>
      <c r="K593" s="150"/>
      <c r="L593" s="150"/>
      <c r="M593" s="150"/>
      <c r="N593" s="150"/>
      <c r="O593" s="150"/>
      <c r="P593" s="150"/>
      <c r="Q593" s="150"/>
      <c r="R593" s="150"/>
      <c r="S593" s="150"/>
      <c r="T593" s="186"/>
      <c r="U593" s="186"/>
      <c r="V593" s="186"/>
      <c r="W593" s="186"/>
      <c r="X593" s="186"/>
      <c r="Y593" s="186"/>
      <c r="Z593" s="186"/>
      <c r="AA593" s="186"/>
      <c r="AB593" s="186"/>
      <c r="AC593" s="186"/>
      <c r="AD593" s="186"/>
      <c r="AF593" s="150"/>
      <c r="AG593" s="150"/>
      <c r="AH593" s="150"/>
      <c r="AI593" s="150"/>
      <c r="AJ593" s="150"/>
      <c r="AK593" s="150"/>
      <c r="AL593" s="150"/>
      <c r="AM593" s="150"/>
      <c r="AN593" s="150"/>
      <c r="AO593" s="150"/>
      <c r="AP593" s="150"/>
      <c r="AQ593" s="150"/>
      <c r="AT593" s="186"/>
      <c r="AU593" s="186"/>
      <c r="AV593" s="186"/>
      <c r="AW593" s="186"/>
      <c r="AX593" s="186"/>
      <c r="AY593" s="186"/>
      <c r="AZ593" s="186"/>
      <c r="BA593" s="186"/>
      <c r="BB593" s="186"/>
      <c r="BC593" s="186"/>
      <c r="BD593" s="186"/>
      <c r="BE593" s="186"/>
      <c r="BF593" s="150"/>
      <c r="BG593" s="150"/>
    </row>
    <row r="594" spans="3:59" ht="14.6">
      <c r="C594" s="289"/>
      <c r="D594" s="150"/>
      <c r="E594" s="150"/>
      <c r="F594" s="150"/>
      <c r="G594" s="150"/>
      <c r="H594" s="150"/>
      <c r="I594" s="150"/>
      <c r="J594" s="150"/>
      <c r="K594" s="150"/>
      <c r="L594" s="150"/>
      <c r="M594" s="150"/>
      <c r="N594" s="150"/>
      <c r="O594" s="150"/>
      <c r="P594" s="150"/>
      <c r="Q594" s="150"/>
      <c r="R594" s="150"/>
      <c r="S594" s="150"/>
      <c r="T594" s="186"/>
      <c r="U594" s="186"/>
      <c r="V594" s="186"/>
      <c r="W594" s="186"/>
      <c r="X594" s="186"/>
      <c r="Y594" s="186"/>
      <c r="Z594" s="186"/>
      <c r="AA594" s="186"/>
      <c r="AB594" s="186"/>
      <c r="AC594" s="186"/>
      <c r="AD594" s="186"/>
      <c r="AF594" s="150"/>
      <c r="AG594" s="150"/>
      <c r="AH594" s="150"/>
      <c r="AI594" s="150"/>
      <c r="AJ594" s="150"/>
      <c r="AK594" s="150"/>
      <c r="AL594" s="150"/>
      <c r="AM594" s="150"/>
      <c r="AN594" s="150"/>
      <c r="AO594" s="150"/>
      <c r="AP594" s="150"/>
      <c r="AQ594" s="150"/>
      <c r="AT594" s="186"/>
      <c r="AU594" s="186"/>
      <c r="AV594" s="186"/>
      <c r="AW594" s="186"/>
      <c r="AX594" s="186"/>
      <c r="AY594" s="186"/>
      <c r="AZ594" s="186"/>
      <c r="BA594" s="186"/>
      <c r="BB594" s="186"/>
      <c r="BC594" s="186"/>
      <c r="BD594" s="186"/>
      <c r="BE594" s="186"/>
      <c r="BF594" s="150"/>
      <c r="BG594" s="150"/>
    </row>
    <row r="595" spans="3:59" ht="14.6">
      <c r="C595" s="289"/>
      <c r="D595" s="150"/>
      <c r="E595" s="150"/>
      <c r="F595" s="150"/>
      <c r="G595" s="150"/>
      <c r="H595" s="150"/>
      <c r="I595" s="150"/>
      <c r="J595" s="150"/>
      <c r="K595" s="150"/>
      <c r="L595" s="150"/>
      <c r="M595" s="150"/>
      <c r="N595" s="150"/>
      <c r="O595" s="150"/>
      <c r="P595" s="150"/>
      <c r="Q595" s="150"/>
      <c r="R595" s="150"/>
      <c r="S595" s="150"/>
      <c r="T595" s="186"/>
      <c r="U595" s="186"/>
      <c r="V595" s="186"/>
      <c r="W595" s="186"/>
      <c r="X595" s="186"/>
      <c r="Y595" s="186"/>
      <c r="Z595" s="186"/>
      <c r="AA595" s="186"/>
      <c r="AB595" s="186"/>
      <c r="AC595" s="186"/>
      <c r="AD595" s="186"/>
      <c r="AF595" s="150"/>
      <c r="AG595" s="150"/>
      <c r="AH595" s="150"/>
      <c r="AI595" s="150"/>
      <c r="AJ595" s="150"/>
      <c r="AK595" s="150"/>
      <c r="AL595" s="150"/>
      <c r="AM595" s="150"/>
      <c r="AN595" s="150"/>
      <c r="AO595" s="150"/>
      <c r="AP595" s="150"/>
      <c r="AQ595" s="150"/>
      <c r="AT595" s="186"/>
      <c r="AU595" s="186"/>
      <c r="AV595" s="186"/>
      <c r="AW595" s="186"/>
      <c r="AX595" s="186"/>
      <c r="AY595" s="186"/>
      <c r="AZ595" s="186"/>
      <c r="BA595" s="186"/>
      <c r="BB595" s="186"/>
      <c r="BC595" s="186"/>
      <c r="BD595" s="186"/>
      <c r="BE595" s="186"/>
      <c r="BF595" s="150"/>
      <c r="BG595" s="150"/>
    </row>
    <row r="596" spans="3:59" ht="14.6">
      <c r="C596" s="289"/>
      <c r="D596" s="150"/>
      <c r="E596" s="150"/>
      <c r="F596" s="150"/>
      <c r="G596" s="150"/>
      <c r="H596" s="150"/>
      <c r="I596" s="150"/>
      <c r="J596" s="150"/>
      <c r="K596" s="150"/>
      <c r="L596" s="150"/>
      <c r="M596" s="150"/>
      <c r="N596" s="150"/>
      <c r="O596" s="150"/>
      <c r="P596" s="150"/>
      <c r="Q596" s="150"/>
      <c r="R596" s="150"/>
      <c r="S596" s="150"/>
      <c r="T596" s="186"/>
      <c r="U596" s="186"/>
      <c r="V596" s="186"/>
      <c r="W596" s="186"/>
      <c r="X596" s="186"/>
      <c r="Y596" s="186"/>
      <c r="Z596" s="186"/>
      <c r="AA596" s="186"/>
      <c r="AB596" s="186"/>
      <c r="AC596" s="186"/>
      <c r="AD596" s="186"/>
      <c r="AF596" s="150"/>
      <c r="AG596" s="150"/>
      <c r="AH596" s="150"/>
      <c r="AI596" s="150"/>
      <c r="AJ596" s="150"/>
      <c r="AK596" s="150"/>
      <c r="AL596" s="150"/>
      <c r="AM596" s="150"/>
      <c r="AN596" s="150"/>
      <c r="AO596" s="150"/>
      <c r="AP596" s="150"/>
      <c r="AQ596" s="150"/>
      <c r="AT596" s="186"/>
      <c r="AU596" s="186"/>
      <c r="AV596" s="186"/>
      <c r="AW596" s="186"/>
      <c r="AX596" s="186"/>
      <c r="AY596" s="186"/>
      <c r="AZ596" s="186"/>
      <c r="BA596" s="186"/>
      <c r="BB596" s="186"/>
      <c r="BC596" s="186"/>
      <c r="BD596" s="186"/>
      <c r="BE596" s="186"/>
      <c r="BF596" s="150"/>
      <c r="BG596" s="150"/>
    </row>
    <row r="597" spans="3:59" ht="14.6">
      <c r="C597" s="289"/>
      <c r="D597" s="150"/>
      <c r="E597" s="150"/>
      <c r="F597" s="150"/>
      <c r="G597" s="150"/>
      <c r="H597" s="150"/>
      <c r="I597" s="150"/>
      <c r="J597" s="150"/>
      <c r="K597" s="150"/>
      <c r="L597" s="150"/>
      <c r="M597" s="150"/>
      <c r="N597" s="150"/>
      <c r="O597" s="150"/>
      <c r="P597" s="150"/>
      <c r="Q597" s="150"/>
      <c r="R597" s="150"/>
      <c r="S597" s="150"/>
      <c r="T597" s="186"/>
      <c r="U597" s="186"/>
      <c r="V597" s="186"/>
      <c r="W597" s="186"/>
      <c r="X597" s="186"/>
      <c r="Y597" s="186"/>
      <c r="Z597" s="186"/>
      <c r="AA597" s="186"/>
      <c r="AB597" s="186"/>
      <c r="AC597" s="186"/>
      <c r="AD597" s="186"/>
      <c r="AF597" s="150"/>
      <c r="AG597" s="150"/>
      <c r="AH597" s="150"/>
      <c r="AI597" s="150"/>
      <c r="AJ597" s="150"/>
      <c r="AK597" s="150"/>
      <c r="AL597" s="150"/>
      <c r="AM597" s="150"/>
      <c r="AN597" s="150"/>
      <c r="AO597" s="150"/>
      <c r="AP597" s="150"/>
      <c r="AQ597" s="150"/>
      <c r="AT597" s="186"/>
      <c r="AU597" s="186"/>
      <c r="AV597" s="186"/>
      <c r="AW597" s="186"/>
      <c r="AX597" s="186"/>
      <c r="AY597" s="186"/>
      <c r="AZ597" s="186"/>
      <c r="BA597" s="186"/>
      <c r="BB597" s="186"/>
      <c r="BC597" s="186"/>
      <c r="BD597" s="186"/>
      <c r="BE597" s="186"/>
      <c r="BF597" s="150"/>
      <c r="BG597" s="150"/>
    </row>
    <row r="598" spans="3:59" ht="14.6">
      <c r="C598" s="289"/>
      <c r="D598" s="150"/>
      <c r="E598" s="150"/>
      <c r="F598" s="150"/>
      <c r="G598" s="150"/>
      <c r="H598" s="150"/>
      <c r="I598" s="150"/>
      <c r="J598" s="150"/>
      <c r="K598" s="150"/>
      <c r="L598" s="150"/>
      <c r="M598" s="150"/>
      <c r="N598" s="150"/>
      <c r="O598" s="150"/>
      <c r="P598" s="150"/>
      <c r="Q598" s="150"/>
      <c r="R598" s="150"/>
      <c r="S598" s="150"/>
      <c r="T598" s="186"/>
      <c r="U598" s="186"/>
      <c r="V598" s="186"/>
      <c r="W598" s="186"/>
      <c r="X598" s="186"/>
      <c r="Y598" s="186"/>
      <c r="Z598" s="186"/>
      <c r="AA598" s="186"/>
      <c r="AB598" s="186"/>
      <c r="AC598" s="186"/>
      <c r="AD598" s="186"/>
      <c r="AF598" s="150"/>
      <c r="AG598" s="150"/>
      <c r="AH598" s="150"/>
      <c r="AI598" s="150"/>
      <c r="AJ598" s="150"/>
      <c r="AK598" s="150"/>
      <c r="AL598" s="150"/>
      <c r="AM598" s="150"/>
      <c r="AN598" s="150"/>
      <c r="AO598" s="150"/>
      <c r="AP598" s="150"/>
      <c r="AQ598" s="150"/>
      <c r="AT598" s="186"/>
      <c r="AU598" s="186"/>
      <c r="AV598" s="186"/>
      <c r="AW598" s="186"/>
      <c r="AX598" s="186"/>
      <c r="AY598" s="186"/>
      <c r="AZ598" s="186"/>
      <c r="BA598" s="186"/>
      <c r="BB598" s="186"/>
      <c r="BC598" s="186"/>
      <c r="BD598" s="186"/>
      <c r="BE598" s="186"/>
      <c r="BF598" s="150"/>
      <c r="BG598" s="150"/>
    </row>
    <row r="599" spans="3:59" ht="14.6">
      <c r="C599" s="289"/>
      <c r="D599" s="150"/>
      <c r="E599" s="150"/>
      <c r="F599" s="150"/>
      <c r="G599" s="150"/>
      <c r="H599" s="150"/>
      <c r="I599" s="150"/>
      <c r="J599" s="150"/>
      <c r="K599" s="150"/>
      <c r="L599" s="150"/>
      <c r="M599" s="150"/>
      <c r="N599" s="150"/>
      <c r="O599" s="150"/>
      <c r="P599" s="150"/>
      <c r="Q599" s="150"/>
      <c r="R599" s="150"/>
      <c r="S599" s="150"/>
      <c r="T599" s="186"/>
      <c r="U599" s="186"/>
      <c r="V599" s="186"/>
      <c r="W599" s="186"/>
      <c r="X599" s="186"/>
      <c r="Y599" s="186"/>
      <c r="Z599" s="186"/>
      <c r="AA599" s="186"/>
      <c r="AB599" s="186"/>
      <c r="AC599" s="186"/>
      <c r="AD599" s="186"/>
      <c r="AF599" s="150"/>
      <c r="AG599" s="150"/>
      <c r="AH599" s="150"/>
      <c r="AI599" s="150"/>
      <c r="AJ599" s="150"/>
      <c r="AK599" s="150"/>
      <c r="AL599" s="150"/>
      <c r="AM599" s="150"/>
      <c r="AN599" s="150"/>
      <c r="AO599" s="150"/>
      <c r="AP599" s="150"/>
      <c r="AQ599" s="150"/>
      <c r="AT599" s="186"/>
      <c r="AU599" s="186"/>
      <c r="AV599" s="186"/>
      <c r="AW599" s="186"/>
      <c r="AX599" s="186"/>
      <c r="AY599" s="186"/>
      <c r="AZ599" s="186"/>
      <c r="BA599" s="186"/>
      <c r="BB599" s="186"/>
      <c r="BC599" s="186"/>
      <c r="BD599" s="186"/>
      <c r="BE599" s="186"/>
      <c r="BF599" s="150"/>
      <c r="BG599" s="150"/>
    </row>
    <row r="600" spans="3:59" ht="14.6">
      <c r="C600" s="289"/>
      <c r="D600" s="150"/>
      <c r="E600" s="150"/>
      <c r="F600" s="150"/>
      <c r="G600" s="150"/>
      <c r="H600" s="150"/>
      <c r="I600" s="150"/>
      <c r="J600" s="150"/>
      <c r="K600" s="150"/>
      <c r="L600" s="150"/>
      <c r="M600" s="150"/>
      <c r="N600" s="150"/>
      <c r="O600" s="150"/>
      <c r="P600" s="150"/>
      <c r="Q600" s="150"/>
      <c r="R600" s="150"/>
      <c r="S600" s="150"/>
      <c r="T600" s="186"/>
      <c r="U600" s="186"/>
      <c r="V600" s="186"/>
      <c r="W600" s="186"/>
      <c r="X600" s="186"/>
      <c r="Y600" s="186"/>
      <c r="Z600" s="186"/>
      <c r="AA600" s="186"/>
      <c r="AB600" s="186"/>
      <c r="AC600" s="186"/>
      <c r="AD600" s="186"/>
      <c r="AF600" s="150"/>
      <c r="AG600" s="150"/>
      <c r="AH600" s="150"/>
      <c r="AI600" s="150"/>
      <c r="AJ600" s="150"/>
      <c r="AK600" s="150"/>
      <c r="AL600" s="150"/>
      <c r="AM600" s="150"/>
      <c r="AN600" s="150"/>
      <c r="AO600" s="150"/>
      <c r="AP600" s="150"/>
      <c r="AQ600" s="150"/>
      <c r="AT600" s="186"/>
      <c r="AU600" s="186"/>
      <c r="AV600" s="186"/>
      <c r="AW600" s="186"/>
      <c r="AX600" s="186"/>
      <c r="AY600" s="186"/>
      <c r="AZ600" s="186"/>
      <c r="BA600" s="186"/>
      <c r="BB600" s="186"/>
      <c r="BC600" s="186"/>
      <c r="BD600" s="186"/>
      <c r="BE600" s="186"/>
      <c r="BF600" s="150"/>
      <c r="BG600" s="150"/>
    </row>
    <row r="601" spans="3:59" ht="14.6">
      <c r="C601" s="289"/>
      <c r="D601" s="150"/>
      <c r="E601" s="150"/>
      <c r="F601" s="150"/>
      <c r="G601" s="150"/>
      <c r="H601" s="150"/>
      <c r="I601" s="150"/>
      <c r="J601" s="150"/>
      <c r="K601" s="150"/>
      <c r="L601" s="150"/>
      <c r="M601" s="150"/>
      <c r="N601" s="150"/>
      <c r="O601" s="150"/>
      <c r="P601" s="150"/>
      <c r="Q601" s="150"/>
      <c r="R601" s="150"/>
      <c r="S601" s="150"/>
      <c r="T601" s="186"/>
      <c r="U601" s="186"/>
      <c r="V601" s="186"/>
      <c r="W601" s="186"/>
      <c r="X601" s="186"/>
      <c r="Y601" s="186"/>
      <c r="Z601" s="186"/>
      <c r="AA601" s="186"/>
      <c r="AB601" s="186"/>
      <c r="AC601" s="186"/>
      <c r="AD601" s="186"/>
      <c r="AF601" s="150"/>
      <c r="AG601" s="150"/>
      <c r="AH601" s="150"/>
      <c r="AI601" s="150"/>
      <c r="AJ601" s="150"/>
      <c r="AK601" s="150"/>
      <c r="AL601" s="150"/>
      <c r="AM601" s="150"/>
      <c r="AN601" s="150"/>
      <c r="AO601" s="150"/>
      <c r="AP601" s="150"/>
      <c r="AQ601" s="150"/>
      <c r="AT601" s="186"/>
      <c r="AU601" s="186"/>
      <c r="AV601" s="186"/>
      <c r="AW601" s="186"/>
      <c r="AX601" s="186"/>
      <c r="AY601" s="186"/>
      <c r="AZ601" s="186"/>
      <c r="BA601" s="186"/>
      <c r="BB601" s="186"/>
      <c r="BC601" s="186"/>
      <c r="BD601" s="186"/>
      <c r="BE601" s="186"/>
      <c r="BF601" s="150"/>
      <c r="BG601" s="150"/>
    </row>
    <row r="602" spans="3:59" ht="14.6">
      <c r="C602" s="289"/>
      <c r="D602" s="150"/>
      <c r="E602" s="150"/>
      <c r="F602" s="150"/>
      <c r="G602" s="150"/>
      <c r="H602" s="150"/>
      <c r="I602" s="150"/>
      <c r="J602" s="150"/>
      <c r="K602" s="150"/>
      <c r="L602" s="150"/>
      <c r="M602" s="150"/>
      <c r="N602" s="150"/>
      <c r="O602" s="150"/>
      <c r="P602" s="150"/>
      <c r="Q602" s="150"/>
      <c r="R602" s="150"/>
      <c r="S602" s="150"/>
      <c r="T602" s="186"/>
      <c r="U602" s="186"/>
      <c r="V602" s="186"/>
      <c r="W602" s="186"/>
      <c r="X602" s="186"/>
      <c r="Y602" s="186"/>
      <c r="Z602" s="186"/>
      <c r="AA602" s="186"/>
      <c r="AB602" s="186"/>
      <c r="AC602" s="186"/>
      <c r="AD602" s="186"/>
      <c r="AF602" s="150"/>
      <c r="AG602" s="150"/>
      <c r="AH602" s="150"/>
      <c r="AI602" s="150"/>
      <c r="AJ602" s="150"/>
      <c r="AK602" s="150"/>
      <c r="AL602" s="150"/>
      <c r="AM602" s="150"/>
      <c r="AN602" s="150"/>
      <c r="AO602" s="150"/>
      <c r="AP602" s="150"/>
      <c r="AQ602" s="150"/>
      <c r="AT602" s="186"/>
      <c r="AU602" s="186"/>
      <c r="AV602" s="186"/>
      <c r="AW602" s="186"/>
      <c r="AX602" s="186"/>
      <c r="AY602" s="186"/>
      <c r="AZ602" s="186"/>
      <c r="BA602" s="186"/>
      <c r="BB602" s="186"/>
      <c r="BC602" s="186"/>
      <c r="BD602" s="186"/>
      <c r="BE602" s="186"/>
      <c r="BF602" s="150"/>
      <c r="BG602" s="150"/>
    </row>
    <row r="603" spans="3:59" ht="14.6">
      <c r="C603" s="289"/>
      <c r="D603" s="150"/>
      <c r="E603" s="150"/>
      <c r="F603" s="150"/>
      <c r="G603" s="150"/>
      <c r="H603" s="150"/>
      <c r="I603" s="150"/>
      <c r="J603" s="150"/>
      <c r="K603" s="150"/>
      <c r="L603" s="150"/>
      <c r="M603" s="150"/>
      <c r="N603" s="150"/>
      <c r="O603" s="150"/>
      <c r="P603" s="150"/>
      <c r="Q603" s="150"/>
      <c r="R603" s="150"/>
      <c r="S603" s="150"/>
      <c r="T603" s="186"/>
      <c r="U603" s="186"/>
      <c r="V603" s="186"/>
      <c r="W603" s="186"/>
      <c r="X603" s="186"/>
      <c r="Y603" s="186"/>
      <c r="Z603" s="186"/>
      <c r="AA603" s="186"/>
      <c r="AB603" s="186"/>
      <c r="AC603" s="186"/>
      <c r="AD603" s="186"/>
      <c r="AF603" s="150"/>
      <c r="AG603" s="150"/>
      <c r="AH603" s="150"/>
      <c r="AI603" s="150"/>
      <c r="AJ603" s="150"/>
      <c r="AK603" s="150"/>
      <c r="AL603" s="150"/>
      <c r="AM603" s="150"/>
      <c r="AN603" s="150"/>
      <c r="AO603" s="150"/>
      <c r="AP603" s="150"/>
      <c r="AQ603" s="150"/>
      <c r="AT603" s="186"/>
      <c r="AU603" s="186"/>
      <c r="AV603" s="186"/>
      <c r="AW603" s="186"/>
      <c r="AX603" s="186"/>
      <c r="AY603" s="186"/>
      <c r="AZ603" s="186"/>
      <c r="BA603" s="186"/>
      <c r="BB603" s="186"/>
      <c r="BC603" s="186"/>
      <c r="BD603" s="186"/>
      <c r="BE603" s="186"/>
      <c r="BF603" s="150"/>
      <c r="BG603" s="150"/>
    </row>
    <row r="604" spans="3:59" ht="14.6">
      <c r="C604" s="289"/>
      <c r="D604" s="150"/>
      <c r="E604" s="150"/>
      <c r="F604" s="150"/>
      <c r="G604" s="150"/>
      <c r="H604" s="150"/>
      <c r="I604" s="150"/>
      <c r="J604" s="150"/>
      <c r="K604" s="150"/>
      <c r="L604" s="150"/>
      <c r="M604" s="150"/>
      <c r="N604" s="150"/>
      <c r="O604" s="150"/>
      <c r="P604" s="150"/>
      <c r="Q604" s="150"/>
      <c r="R604" s="150"/>
      <c r="S604" s="150"/>
      <c r="T604" s="186"/>
      <c r="U604" s="186"/>
      <c r="V604" s="186"/>
      <c r="W604" s="186"/>
      <c r="X604" s="186"/>
      <c r="Y604" s="186"/>
      <c r="Z604" s="186"/>
      <c r="AA604" s="186"/>
      <c r="AB604" s="186"/>
      <c r="AC604" s="186"/>
      <c r="AD604" s="186"/>
      <c r="AF604" s="150"/>
      <c r="AG604" s="150"/>
      <c r="AH604" s="150"/>
      <c r="AI604" s="150"/>
      <c r="AJ604" s="150"/>
      <c r="AK604" s="150"/>
      <c r="AL604" s="150"/>
      <c r="AM604" s="150"/>
      <c r="AN604" s="150"/>
      <c r="AO604" s="150"/>
      <c r="AP604" s="150"/>
      <c r="AQ604" s="150"/>
      <c r="AT604" s="186"/>
      <c r="AU604" s="186"/>
      <c r="AV604" s="186"/>
      <c r="AW604" s="186"/>
      <c r="AX604" s="186"/>
      <c r="AY604" s="186"/>
      <c r="AZ604" s="186"/>
      <c r="BA604" s="186"/>
      <c r="BB604" s="186"/>
      <c r="BC604" s="186"/>
      <c r="BD604" s="186"/>
      <c r="BE604" s="186"/>
      <c r="BF604" s="150"/>
      <c r="BG604" s="150"/>
    </row>
    <row r="605" spans="3:59" ht="14.6">
      <c r="C605" s="289"/>
      <c r="D605" s="150"/>
      <c r="E605" s="150"/>
      <c r="F605" s="150"/>
      <c r="G605" s="150"/>
      <c r="H605" s="150"/>
      <c r="I605" s="150"/>
      <c r="J605" s="150"/>
      <c r="K605" s="150"/>
      <c r="L605" s="150"/>
      <c r="M605" s="150"/>
      <c r="N605" s="150"/>
      <c r="O605" s="150"/>
      <c r="P605" s="150"/>
      <c r="Q605" s="150"/>
      <c r="R605" s="150"/>
      <c r="S605" s="150"/>
      <c r="T605" s="186"/>
      <c r="U605" s="186"/>
      <c r="V605" s="186"/>
      <c r="W605" s="186"/>
      <c r="X605" s="186"/>
      <c r="Y605" s="186"/>
      <c r="Z605" s="186"/>
      <c r="AA605" s="186"/>
      <c r="AB605" s="186"/>
      <c r="AC605" s="186"/>
      <c r="AD605" s="186"/>
      <c r="AF605" s="150"/>
      <c r="AG605" s="150"/>
      <c r="AH605" s="150"/>
      <c r="AI605" s="150"/>
      <c r="AJ605" s="150"/>
      <c r="AK605" s="150"/>
      <c r="AL605" s="150"/>
      <c r="AM605" s="150"/>
      <c r="AN605" s="150"/>
      <c r="AO605" s="150"/>
      <c r="AP605" s="150"/>
      <c r="AQ605" s="150"/>
      <c r="AT605" s="186"/>
      <c r="AU605" s="186"/>
      <c r="AV605" s="186"/>
      <c r="AW605" s="186"/>
      <c r="AX605" s="186"/>
      <c r="AY605" s="186"/>
      <c r="AZ605" s="186"/>
      <c r="BA605" s="186"/>
      <c r="BB605" s="186"/>
      <c r="BC605" s="186"/>
      <c r="BD605" s="186"/>
      <c r="BE605" s="186"/>
      <c r="BF605" s="150"/>
      <c r="BG605" s="150"/>
    </row>
    <row r="606" spans="3:59" ht="14.6">
      <c r="C606" s="289"/>
      <c r="D606" s="150"/>
      <c r="E606" s="150"/>
      <c r="F606" s="150"/>
      <c r="G606" s="150"/>
      <c r="H606" s="150"/>
      <c r="I606" s="150"/>
      <c r="J606" s="150"/>
      <c r="K606" s="150"/>
      <c r="L606" s="150"/>
      <c r="M606" s="150"/>
      <c r="N606" s="150"/>
      <c r="O606" s="150"/>
      <c r="P606" s="150"/>
      <c r="Q606" s="150"/>
      <c r="R606" s="150"/>
      <c r="S606" s="150"/>
      <c r="T606" s="186"/>
      <c r="U606" s="186"/>
      <c r="V606" s="186"/>
      <c r="W606" s="186"/>
      <c r="X606" s="186"/>
      <c r="Y606" s="186"/>
      <c r="Z606" s="186"/>
      <c r="AA606" s="186"/>
      <c r="AB606" s="186"/>
      <c r="AC606" s="186"/>
      <c r="AD606" s="186"/>
      <c r="AF606" s="150"/>
      <c r="AG606" s="150"/>
      <c r="AH606" s="150"/>
      <c r="AI606" s="150"/>
      <c r="AJ606" s="150"/>
      <c r="AK606" s="150"/>
      <c r="AL606" s="150"/>
      <c r="AM606" s="150"/>
      <c r="AN606" s="150"/>
      <c r="AO606" s="150"/>
      <c r="AP606" s="150"/>
      <c r="AQ606" s="150"/>
      <c r="AT606" s="186"/>
      <c r="AU606" s="186"/>
      <c r="AV606" s="186"/>
      <c r="AW606" s="186"/>
      <c r="AX606" s="186"/>
      <c r="AY606" s="186"/>
      <c r="AZ606" s="186"/>
      <c r="BA606" s="186"/>
      <c r="BB606" s="186"/>
      <c r="BC606" s="186"/>
      <c r="BD606" s="186"/>
      <c r="BE606" s="186"/>
      <c r="BF606" s="150"/>
      <c r="BG606" s="150"/>
    </row>
    <row r="607" spans="3:59" ht="14.6">
      <c r="C607" s="289"/>
      <c r="D607" s="150"/>
      <c r="E607" s="150"/>
      <c r="F607" s="150"/>
      <c r="G607" s="150"/>
      <c r="H607" s="150"/>
      <c r="I607" s="150"/>
      <c r="J607" s="150"/>
      <c r="K607" s="150"/>
      <c r="L607" s="150"/>
      <c r="M607" s="150"/>
      <c r="N607" s="150"/>
      <c r="O607" s="150"/>
      <c r="P607" s="150"/>
      <c r="Q607" s="150"/>
      <c r="R607" s="150"/>
      <c r="S607" s="150"/>
      <c r="T607" s="186"/>
      <c r="U607" s="186"/>
      <c r="V607" s="186"/>
      <c r="W607" s="186"/>
      <c r="X607" s="186"/>
      <c r="Y607" s="186"/>
      <c r="Z607" s="186"/>
      <c r="AA607" s="186"/>
      <c r="AB607" s="186"/>
      <c r="AC607" s="186"/>
      <c r="AD607" s="186"/>
      <c r="AF607" s="150"/>
      <c r="AG607" s="150"/>
      <c r="AH607" s="150"/>
      <c r="AI607" s="150"/>
      <c r="AJ607" s="150"/>
      <c r="AK607" s="150"/>
      <c r="AL607" s="150"/>
      <c r="AM607" s="150"/>
      <c r="AN607" s="150"/>
      <c r="AO607" s="150"/>
      <c r="AP607" s="150"/>
      <c r="AQ607" s="150"/>
      <c r="AT607" s="186"/>
      <c r="AU607" s="186"/>
      <c r="AV607" s="186"/>
      <c r="AW607" s="186"/>
      <c r="AX607" s="186"/>
      <c r="AY607" s="186"/>
      <c r="AZ607" s="186"/>
      <c r="BA607" s="186"/>
      <c r="BB607" s="186"/>
      <c r="BC607" s="186"/>
      <c r="BD607" s="186"/>
      <c r="BE607" s="186"/>
      <c r="BF607" s="150"/>
      <c r="BG607" s="150"/>
    </row>
    <row r="608" spans="3:59" ht="14.6">
      <c r="C608" s="289"/>
      <c r="D608" s="150"/>
      <c r="E608" s="150"/>
      <c r="F608" s="150"/>
      <c r="G608" s="150"/>
      <c r="H608" s="150"/>
      <c r="I608" s="150"/>
      <c r="J608" s="150"/>
      <c r="K608" s="150"/>
      <c r="L608" s="150"/>
      <c r="M608" s="150"/>
      <c r="N608" s="150"/>
      <c r="O608" s="150"/>
      <c r="P608" s="150"/>
      <c r="Q608" s="150"/>
      <c r="R608" s="150"/>
      <c r="S608" s="150"/>
      <c r="T608" s="186"/>
      <c r="U608" s="186"/>
      <c r="V608" s="186"/>
      <c r="W608" s="186"/>
      <c r="X608" s="186"/>
      <c r="Y608" s="186"/>
      <c r="Z608" s="186"/>
      <c r="AA608" s="186"/>
      <c r="AB608" s="186"/>
      <c r="AC608" s="186"/>
      <c r="AD608" s="186"/>
      <c r="AF608" s="150"/>
      <c r="AG608" s="150"/>
      <c r="AH608" s="150"/>
      <c r="AI608" s="150"/>
      <c r="AJ608" s="150"/>
      <c r="AK608" s="150"/>
      <c r="AL608" s="150"/>
      <c r="AM608" s="150"/>
      <c r="AN608" s="150"/>
      <c r="AO608" s="150"/>
      <c r="AP608" s="150"/>
      <c r="AQ608" s="150"/>
      <c r="AT608" s="186"/>
      <c r="AU608" s="186"/>
      <c r="AV608" s="186"/>
      <c r="AW608" s="186"/>
      <c r="AX608" s="186"/>
      <c r="AY608" s="186"/>
      <c r="AZ608" s="186"/>
      <c r="BA608" s="186"/>
      <c r="BB608" s="186"/>
      <c r="BC608" s="186"/>
      <c r="BD608" s="186"/>
      <c r="BE608" s="186"/>
      <c r="BF608" s="150"/>
      <c r="BG608" s="150"/>
    </row>
    <row r="609" spans="3:59" ht="14.6">
      <c r="C609" s="289"/>
      <c r="D609" s="150"/>
      <c r="E609" s="150"/>
      <c r="F609" s="150"/>
      <c r="G609" s="150"/>
      <c r="H609" s="150"/>
      <c r="I609" s="150"/>
      <c r="J609" s="150"/>
      <c r="K609" s="150"/>
      <c r="L609" s="150"/>
      <c r="M609" s="150"/>
      <c r="N609" s="150"/>
      <c r="O609" s="150"/>
      <c r="P609" s="150"/>
      <c r="Q609" s="150"/>
      <c r="R609" s="150"/>
      <c r="S609" s="150"/>
      <c r="T609" s="186"/>
      <c r="U609" s="186"/>
      <c r="V609" s="186"/>
      <c r="W609" s="186"/>
      <c r="X609" s="186"/>
      <c r="Y609" s="186"/>
      <c r="Z609" s="186"/>
      <c r="AA609" s="186"/>
      <c r="AB609" s="186"/>
      <c r="AC609" s="186"/>
      <c r="AD609" s="186"/>
      <c r="AF609" s="150"/>
      <c r="AG609" s="150"/>
      <c r="AH609" s="150"/>
      <c r="AI609" s="150"/>
      <c r="AJ609" s="150"/>
      <c r="AK609" s="150"/>
      <c r="AL609" s="150"/>
      <c r="AM609" s="150"/>
      <c r="AN609" s="150"/>
      <c r="AO609" s="150"/>
      <c r="AP609" s="150"/>
      <c r="AQ609" s="150"/>
      <c r="AT609" s="186"/>
      <c r="AU609" s="186"/>
      <c r="AV609" s="186"/>
      <c r="AW609" s="186"/>
      <c r="AX609" s="186"/>
      <c r="AY609" s="186"/>
      <c r="AZ609" s="186"/>
      <c r="BA609" s="186"/>
      <c r="BB609" s="186"/>
      <c r="BC609" s="186"/>
      <c r="BD609" s="186"/>
      <c r="BE609" s="186"/>
      <c r="BF609" s="150"/>
      <c r="BG609" s="150"/>
    </row>
    <row r="610" spans="3:59" ht="14.6">
      <c r="C610" s="289"/>
      <c r="D610" s="150"/>
      <c r="E610" s="150"/>
      <c r="F610" s="150"/>
      <c r="G610" s="150"/>
      <c r="H610" s="150"/>
      <c r="I610" s="150"/>
      <c r="J610" s="150"/>
      <c r="K610" s="150"/>
      <c r="L610" s="150"/>
      <c r="M610" s="150"/>
      <c r="N610" s="150"/>
      <c r="O610" s="150"/>
      <c r="P610" s="150"/>
      <c r="Q610" s="150"/>
      <c r="R610" s="150"/>
      <c r="S610" s="150"/>
      <c r="T610" s="186"/>
      <c r="U610" s="186"/>
      <c r="V610" s="186"/>
      <c r="W610" s="186"/>
      <c r="X610" s="186"/>
      <c r="Y610" s="186"/>
      <c r="Z610" s="186"/>
      <c r="AA610" s="186"/>
      <c r="AB610" s="186"/>
      <c r="AC610" s="186"/>
      <c r="AD610" s="186"/>
      <c r="AF610" s="150"/>
      <c r="AG610" s="150"/>
      <c r="AH610" s="150"/>
      <c r="AI610" s="150"/>
      <c r="AJ610" s="150"/>
      <c r="AK610" s="150"/>
      <c r="AL610" s="150"/>
      <c r="AM610" s="150"/>
      <c r="AN610" s="150"/>
      <c r="AO610" s="150"/>
      <c r="AP610" s="150"/>
      <c r="AQ610" s="150"/>
      <c r="AT610" s="186"/>
      <c r="AU610" s="186"/>
      <c r="AV610" s="186"/>
      <c r="AW610" s="186"/>
      <c r="AX610" s="186"/>
      <c r="AY610" s="186"/>
      <c r="AZ610" s="186"/>
      <c r="BA610" s="186"/>
      <c r="BB610" s="186"/>
      <c r="BC610" s="186"/>
      <c r="BD610" s="186"/>
      <c r="BE610" s="186"/>
      <c r="BF610" s="150"/>
      <c r="BG610" s="150"/>
    </row>
    <row r="611" spans="3:59" ht="14.6">
      <c r="C611" s="289"/>
      <c r="D611" s="150"/>
      <c r="E611" s="150"/>
      <c r="F611" s="150"/>
      <c r="G611" s="150"/>
      <c r="H611" s="150"/>
      <c r="I611" s="150"/>
      <c r="J611" s="150"/>
      <c r="K611" s="150"/>
      <c r="L611" s="150"/>
      <c r="M611" s="150"/>
      <c r="N611" s="150"/>
      <c r="O611" s="150"/>
      <c r="P611" s="150"/>
      <c r="Q611" s="150"/>
      <c r="R611" s="150"/>
      <c r="S611" s="150"/>
      <c r="T611" s="186"/>
      <c r="U611" s="186"/>
      <c r="V611" s="186"/>
      <c r="W611" s="186"/>
      <c r="X611" s="186"/>
      <c r="Y611" s="186"/>
      <c r="Z611" s="186"/>
      <c r="AA611" s="186"/>
      <c r="AB611" s="186"/>
      <c r="AC611" s="186"/>
      <c r="AD611" s="186"/>
      <c r="AF611" s="150"/>
      <c r="AG611" s="150"/>
      <c r="AH611" s="150"/>
      <c r="AI611" s="150"/>
      <c r="AJ611" s="150"/>
      <c r="AK611" s="150"/>
      <c r="AL611" s="150"/>
      <c r="AM611" s="150"/>
      <c r="AN611" s="150"/>
      <c r="AO611" s="150"/>
      <c r="AP611" s="150"/>
      <c r="AQ611" s="150"/>
      <c r="AT611" s="186"/>
      <c r="AU611" s="186"/>
      <c r="AV611" s="186"/>
      <c r="AW611" s="186"/>
      <c r="AX611" s="186"/>
      <c r="AY611" s="186"/>
      <c r="AZ611" s="186"/>
      <c r="BA611" s="186"/>
      <c r="BB611" s="186"/>
      <c r="BC611" s="186"/>
      <c r="BD611" s="186"/>
      <c r="BE611" s="186"/>
      <c r="BF611" s="150"/>
      <c r="BG611" s="150"/>
    </row>
    <row r="612" spans="3:59" ht="14.6">
      <c r="C612" s="289"/>
      <c r="D612" s="150"/>
      <c r="E612" s="150"/>
      <c r="F612" s="150"/>
      <c r="G612" s="150"/>
      <c r="H612" s="150"/>
      <c r="I612" s="150"/>
      <c r="J612" s="150"/>
      <c r="K612" s="150"/>
      <c r="L612" s="150"/>
      <c r="M612" s="150"/>
      <c r="N612" s="150"/>
      <c r="O612" s="150"/>
      <c r="P612" s="150"/>
      <c r="Q612" s="150"/>
      <c r="R612" s="150"/>
      <c r="S612" s="150"/>
      <c r="T612" s="186"/>
      <c r="U612" s="186"/>
      <c r="V612" s="186"/>
      <c r="W612" s="186"/>
      <c r="X612" s="186"/>
      <c r="Y612" s="186"/>
      <c r="Z612" s="186"/>
      <c r="AA612" s="186"/>
      <c r="AB612" s="186"/>
      <c r="AC612" s="186"/>
      <c r="AD612" s="186"/>
      <c r="AF612" s="150"/>
      <c r="AG612" s="150"/>
      <c r="AH612" s="150"/>
      <c r="AI612" s="150"/>
      <c r="AJ612" s="150"/>
      <c r="AK612" s="150"/>
      <c r="AL612" s="150"/>
      <c r="AM612" s="150"/>
      <c r="AN612" s="150"/>
      <c r="AO612" s="150"/>
      <c r="AP612" s="150"/>
      <c r="AQ612" s="150"/>
      <c r="AT612" s="186"/>
      <c r="AU612" s="186"/>
      <c r="AV612" s="186"/>
      <c r="AW612" s="186"/>
      <c r="AX612" s="186"/>
      <c r="AY612" s="186"/>
      <c r="AZ612" s="186"/>
      <c r="BA612" s="186"/>
      <c r="BB612" s="186"/>
      <c r="BC612" s="186"/>
      <c r="BD612" s="186"/>
      <c r="BE612" s="186"/>
      <c r="BF612" s="150"/>
      <c r="BG612" s="150"/>
    </row>
    <row r="613" spans="3:59" ht="14.6">
      <c r="C613" s="289"/>
      <c r="D613" s="150"/>
      <c r="E613" s="150"/>
      <c r="F613" s="150"/>
      <c r="G613" s="150"/>
      <c r="H613" s="150"/>
      <c r="I613" s="150"/>
      <c r="J613" s="150"/>
      <c r="K613" s="150"/>
      <c r="L613" s="150"/>
      <c r="M613" s="150"/>
      <c r="N613" s="150"/>
      <c r="O613" s="150"/>
      <c r="P613" s="150"/>
      <c r="Q613" s="150"/>
      <c r="R613" s="150"/>
      <c r="S613" s="150"/>
      <c r="T613" s="186"/>
      <c r="U613" s="186"/>
      <c r="V613" s="186"/>
      <c r="W613" s="186"/>
      <c r="X613" s="186"/>
      <c r="Y613" s="186"/>
      <c r="Z613" s="186"/>
      <c r="AA613" s="186"/>
      <c r="AB613" s="186"/>
      <c r="AC613" s="186"/>
      <c r="AD613" s="186"/>
      <c r="AF613" s="150"/>
      <c r="AG613" s="150"/>
      <c r="AH613" s="150"/>
      <c r="AI613" s="150"/>
      <c r="AJ613" s="150"/>
      <c r="AK613" s="150"/>
      <c r="AL613" s="150"/>
      <c r="AM613" s="150"/>
      <c r="AN613" s="150"/>
      <c r="AO613" s="150"/>
      <c r="AP613" s="150"/>
      <c r="AQ613" s="150"/>
      <c r="AT613" s="186"/>
      <c r="AU613" s="186"/>
      <c r="AV613" s="186"/>
      <c r="AW613" s="186"/>
      <c r="AX613" s="186"/>
      <c r="AY613" s="186"/>
      <c r="AZ613" s="186"/>
      <c r="BA613" s="186"/>
      <c r="BB613" s="186"/>
      <c r="BC613" s="186"/>
      <c r="BD613" s="186"/>
      <c r="BE613" s="186"/>
      <c r="BF613" s="150"/>
      <c r="BG613" s="150"/>
    </row>
    <row r="614" spans="3:59" ht="14.6">
      <c r="C614" s="289"/>
      <c r="D614" s="150"/>
      <c r="E614" s="150"/>
      <c r="F614" s="150"/>
      <c r="G614" s="150"/>
      <c r="H614" s="150"/>
      <c r="I614" s="150"/>
      <c r="J614" s="150"/>
      <c r="K614" s="150"/>
      <c r="L614" s="150"/>
      <c r="M614" s="150"/>
      <c r="N614" s="150"/>
      <c r="O614" s="150"/>
      <c r="P614" s="150"/>
      <c r="Q614" s="150"/>
      <c r="R614" s="150"/>
      <c r="S614" s="150"/>
      <c r="T614" s="186"/>
      <c r="U614" s="186"/>
      <c r="V614" s="186"/>
      <c r="W614" s="186"/>
      <c r="X614" s="186"/>
      <c r="Y614" s="186"/>
      <c r="Z614" s="186"/>
      <c r="AA614" s="186"/>
      <c r="AB614" s="186"/>
      <c r="AC614" s="186"/>
      <c r="AD614" s="186"/>
      <c r="AF614" s="150"/>
      <c r="AG614" s="150"/>
      <c r="AH614" s="150"/>
      <c r="AI614" s="150"/>
      <c r="AJ614" s="150"/>
      <c r="AK614" s="150"/>
      <c r="AL614" s="150"/>
      <c r="AM614" s="150"/>
      <c r="AN614" s="150"/>
      <c r="AO614" s="150"/>
      <c r="AP614" s="150"/>
      <c r="AQ614" s="150"/>
      <c r="AT614" s="186"/>
      <c r="AU614" s="186"/>
      <c r="AV614" s="186"/>
      <c r="AW614" s="186"/>
      <c r="AX614" s="186"/>
      <c r="AY614" s="186"/>
      <c r="AZ614" s="186"/>
      <c r="BA614" s="186"/>
      <c r="BB614" s="186"/>
      <c r="BC614" s="186"/>
      <c r="BD614" s="186"/>
      <c r="BE614" s="186"/>
      <c r="BF614" s="150"/>
      <c r="BG614" s="150"/>
    </row>
    <row r="615" spans="3:59" ht="14.6">
      <c r="C615" s="289"/>
      <c r="D615" s="150"/>
      <c r="E615" s="150"/>
      <c r="F615" s="150"/>
      <c r="G615" s="150"/>
      <c r="H615" s="150"/>
      <c r="I615" s="150"/>
      <c r="J615" s="150"/>
      <c r="K615" s="150"/>
      <c r="L615" s="150"/>
      <c r="M615" s="150"/>
      <c r="N615" s="150"/>
      <c r="O615" s="150"/>
      <c r="P615" s="150"/>
      <c r="Q615" s="150"/>
      <c r="R615" s="150"/>
      <c r="S615" s="150"/>
      <c r="T615" s="186"/>
      <c r="U615" s="186"/>
      <c r="V615" s="186"/>
      <c r="W615" s="186"/>
      <c r="X615" s="186"/>
      <c r="Y615" s="186"/>
      <c r="Z615" s="186"/>
      <c r="AA615" s="186"/>
      <c r="AB615" s="186"/>
      <c r="AC615" s="186"/>
      <c r="AD615" s="186"/>
      <c r="AF615" s="150"/>
      <c r="AG615" s="150"/>
      <c r="AH615" s="150"/>
      <c r="AI615" s="150"/>
      <c r="AJ615" s="150"/>
      <c r="AK615" s="150"/>
      <c r="AL615" s="150"/>
      <c r="AM615" s="150"/>
      <c r="AN615" s="150"/>
      <c r="AO615" s="150"/>
      <c r="AP615" s="150"/>
      <c r="AQ615" s="150"/>
      <c r="AT615" s="186"/>
      <c r="AU615" s="186"/>
      <c r="AV615" s="186"/>
      <c r="AW615" s="186"/>
      <c r="AX615" s="186"/>
      <c r="AY615" s="186"/>
      <c r="AZ615" s="186"/>
      <c r="BA615" s="186"/>
      <c r="BB615" s="186"/>
      <c r="BC615" s="186"/>
      <c r="BD615" s="186"/>
      <c r="BE615" s="186"/>
      <c r="BF615" s="150"/>
      <c r="BG615" s="150"/>
    </row>
    <row r="616" spans="3:59" ht="14.6">
      <c r="C616" s="289"/>
      <c r="D616" s="150"/>
      <c r="E616" s="150"/>
      <c r="F616" s="150"/>
      <c r="G616" s="150"/>
      <c r="H616" s="150"/>
      <c r="I616" s="150"/>
      <c r="J616" s="150"/>
      <c r="K616" s="150"/>
      <c r="L616" s="150"/>
      <c r="M616" s="150"/>
      <c r="N616" s="150"/>
      <c r="O616" s="150"/>
      <c r="P616" s="150"/>
      <c r="Q616" s="150"/>
      <c r="R616" s="150"/>
      <c r="S616" s="150"/>
      <c r="T616" s="186"/>
      <c r="U616" s="186"/>
      <c r="V616" s="186"/>
      <c r="W616" s="186"/>
      <c r="X616" s="186"/>
      <c r="Y616" s="186"/>
      <c r="Z616" s="186"/>
      <c r="AA616" s="186"/>
      <c r="AB616" s="186"/>
      <c r="AC616" s="186"/>
      <c r="AD616" s="186"/>
      <c r="AF616" s="150"/>
      <c r="AG616" s="150"/>
      <c r="AH616" s="150"/>
      <c r="AI616" s="150"/>
      <c r="AJ616" s="150"/>
      <c r="AK616" s="150"/>
      <c r="AL616" s="150"/>
      <c r="AM616" s="150"/>
      <c r="AN616" s="150"/>
      <c r="AO616" s="150"/>
      <c r="AP616" s="150"/>
      <c r="AQ616" s="150"/>
      <c r="AT616" s="186"/>
      <c r="AU616" s="186"/>
      <c r="AV616" s="186"/>
      <c r="AW616" s="186"/>
      <c r="AX616" s="186"/>
      <c r="AY616" s="186"/>
      <c r="AZ616" s="186"/>
      <c r="BA616" s="186"/>
      <c r="BB616" s="186"/>
      <c r="BC616" s="186"/>
      <c r="BD616" s="186"/>
      <c r="BE616" s="186"/>
      <c r="BF616" s="150"/>
      <c r="BG616" s="150"/>
    </row>
    <row r="617" spans="3:59" ht="14.6">
      <c r="C617" s="289"/>
      <c r="D617" s="150"/>
      <c r="E617" s="150"/>
      <c r="F617" s="150"/>
      <c r="G617" s="150"/>
      <c r="H617" s="150"/>
      <c r="I617" s="150"/>
      <c r="J617" s="150"/>
      <c r="K617" s="150"/>
      <c r="L617" s="150"/>
      <c r="M617" s="150"/>
      <c r="N617" s="150"/>
      <c r="O617" s="150"/>
      <c r="P617" s="150"/>
      <c r="Q617" s="150"/>
      <c r="R617" s="150"/>
      <c r="S617" s="150"/>
      <c r="T617" s="186"/>
      <c r="U617" s="186"/>
      <c r="V617" s="186"/>
      <c r="W617" s="186"/>
      <c r="X617" s="186"/>
      <c r="Y617" s="186"/>
      <c r="Z617" s="186"/>
      <c r="AA617" s="186"/>
      <c r="AB617" s="186"/>
      <c r="AC617" s="186"/>
      <c r="AD617" s="186"/>
      <c r="AF617" s="150"/>
      <c r="AG617" s="150"/>
      <c r="AH617" s="150"/>
      <c r="AI617" s="150"/>
      <c r="AJ617" s="150"/>
      <c r="AK617" s="150"/>
      <c r="AL617" s="150"/>
      <c r="AM617" s="150"/>
      <c r="AN617" s="150"/>
      <c r="AO617" s="150"/>
      <c r="AP617" s="150"/>
      <c r="AQ617" s="150"/>
      <c r="AT617" s="186"/>
      <c r="AU617" s="186"/>
      <c r="AV617" s="186"/>
      <c r="AW617" s="186"/>
      <c r="AX617" s="186"/>
      <c r="AY617" s="186"/>
      <c r="AZ617" s="186"/>
      <c r="BA617" s="186"/>
      <c r="BB617" s="186"/>
      <c r="BC617" s="186"/>
      <c r="BD617" s="186"/>
      <c r="BE617" s="186"/>
      <c r="BF617" s="150"/>
      <c r="BG617" s="150"/>
    </row>
    <row r="618" spans="3:59" ht="14.6">
      <c r="C618" s="289"/>
      <c r="D618" s="150"/>
      <c r="E618" s="150"/>
      <c r="F618" s="150"/>
      <c r="G618" s="150"/>
      <c r="H618" s="150"/>
      <c r="I618" s="150"/>
      <c r="J618" s="150"/>
      <c r="K618" s="150"/>
      <c r="L618" s="150"/>
      <c r="M618" s="150"/>
      <c r="N618" s="150"/>
      <c r="O618" s="150"/>
      <c r="P618" s="150"/>
      <c r="Q618" s="150"/>
      <c r="R618" s="150"/>
      <c r="S618" s="150"/>
      <c r="T618" s="186"/>
      <c r="U618" s="186"/>
      <c r="V618" s="186"/>
      <c r="W618" s="186"/>
      <c r="X618" s="186"/>
      <c r="Y618" s="186"/>
      <c r="Z618" s="186"/>
      <c r="AA618" s="186"/>
      <c r="AB618" s="186"/>
      <c r="AC618" s="186"/>
      <c r="AD618" s="186"/>
      <c r="AF618" s="150"/>
      <c r="AG618" s="150"/>
      <c r="AH618" s="150"/>
      <c r="AI618" s="150"/>
      <c r="AJ618" s="150"/>
      <c r="AK618" s="150"/>
      <c r="AL618" s="150"/>
      <c r="AM618" s="150"/>
      <c r="AN618" s="150"/>
      <c r="AO618" s="150"/>
      <c r="AP618" s="150"/>
      <c r="AQ618" s="150"/>
      <c r="AT618" s="186"/>
      <c r="AU618" s="186"/>
      <c r="AV618" s="186"/>
      <c r="AW618" s="186"/>
      <c r="AX618" s="186"/>
      <c r="AY618" s="186"/>
      <c r="AZ618" s="186"/>
      <c r="BA618" s="186"/>
      <c r="BB618" s="186"/>
      <c r="BC618" s="186"/>
      <c r="BD618" s="186"/>
      <c r="BE618" s="186"/>
      <c r="BF618" s="150"/>
      <c r="BG618" s="150"/>
    </row>
    <row r="619" spans="3:59" ht="14.6">
      <c r="C619" s="289"/>
      <c r="D619" s="150"/>
      <c r="E619" s="150"/>
      <c r="F619" s="150"/>
      <c r="G619" s="150"/>
      <c r="H619" s="150"/>
      <c r="I619" s="150"/>
      <c r="J619" s="150"/>
      <c r="K619" s="150"/>
      <c r="L619" s="150"/>
      <c r="M619" s="150"/>
      <c r="N619" s="150"/>
      <c r="O619" s="150"/>
      <c r="P619" s="150"/>
      <c r="Q619" s="150"/>
      <c r="R619" s="150"/>
      <c r="S619" s="150"/>
      <c r="T619" s="186"/>
      <c r="U619" s="186"/>
      <c r="V619" s="186"/>
      <c r="W619" s="186"/>
      <c r="X619" s="186"/>
      <c r="Y619" s="186"/>
      <c r="Z619" s="186"/>
      <c r="AA619" s="186"/>
      <c r="AB619" s="186"/>
      <c r="AC619" s="186"/>
      <c r="AD619" s="186"/>
      <c r="AF619" s="150"/>
      <c r="AG619" s="150"/>
      <c r="AH619" s="150"/>
      <c r="AI619" s="150"/>
      <c r="AJ619" s="150"/>
      <c r="AK619" s="150"/>
      <c r="AL619" s="150"/>
      <c r="AM619" s="150"/>
      <c r="AN619" s="150"/>
      <c r="AO619" s="150"/>
      <c r="AP619" s="150"/>
      <c r="AQ619" s="150"/>
      <c r="AT619" s="186"/>
      <c r="AU619" s="186"/>
      <c r="AV619" s="186"/>
      <c r="AW619" s="186"/>
      <c r="AX619" s="186"/>
      <c r="AY619" s="186"/>
      <c r="AZ619" s="186"/>
      <c r="BA619" s="186"/>
      <c r="BB619" s="186"/>
      <c r="BC619" s="186"/>
      <c r="BD619" s="186"/>
      <c r="BE619" s="186"/>
      <c r="BF619" s="150"/>
      <c r="BG619" s="150"/>
    </row>
    <row r="620" spans="3:59" ht="14.6">
      <c r="C620" s="289"/>
      <c r="D620" s="150"/>
      <c r="E620" s="150"/>
      <c r="F620" s="150"/>
      <c r="G620" s="150"/>
      <c r="H620" s="150"/>
      <c r="I620" s="150"/>
      <c r="J620" s="150"/>
      <c r="K620" s="150"/>
      <c r="L620" s="150"/>
      <c r="M620" s="150"/>
      <c r="N620" s="150"/>
      <c r="O620" s="150"/>
      <c r="P620" s="150"/>
      <c r="Q620" s="150"/>
      <c r="R620" s="150"/>
      <c r="S620" s="150"/>
      <c r="T620" s="186"/>
      <c r="U620" s="186"/>
      <c r="V620" s="186"/>
      <c r="W620" s="186"/>
      <c r="X620" s="186"/>
      <c r="Y620" s="186"/>
      <c r="Z620" s="186"/>
      <c r="AA620" s="186"/>
      <c r="AB620" s="186"/>
      <c r="AC620" s="186"/>
      <c r="AD620" s="186"/>
      <c r="AF620" s="150"/>
      <c r="AG620" s="150"/>
      <c r="AH620" s="150"/>
      <c r="AI620" s="150"/>
      <c r="AJ620" s="150"/>
      <c r="AK620" s="150"/>
      <c r="AL620" s="150"/>
      <c r="AM620" s="150"/>
      <c r="AN620" s="150"/>
      <c r="AO620" s="150"/>
      <c r="AP620" s="150"/>
      <c r="AQ620" s="150"/>
      <c r="AT620" s="186"/>
      <c r="AU620" s="186"/>
      <c r="AV620" s="186"/>
      <c r="AW620" s="186"/>
      <c r="AX620" s="186"/>
      <c r="AY620" s="186"/>
      <c r="AZ620" s="186"/>
      <c r="BA620" s="186"/>
      <c r="BB620" s="186"/>
      <c r="BC620" s="186"/>
      <c r="BD620" s="186"/>
      <c r="BE620" s="186"/>
      <c r="BF620" s="150"/>
      <c r="BG620" s="150"/>
    </row>
    <row r="621" spans="3:59" ht="14.6">
      <c r="C621" s="289"/>
      <c r="D621" s="150"/>
      <c r="E621" s="150"/>
      <c r="F621" s="150"/>
      <c r="G621" s="150"/>
      <c r="H621" s="150"/>
      <c r="I621" s="150"/>
      <c r="J621" s="150"/>
      <c r="K621" s="150"/>
      <c r="L621" s="150"/>
      <c r="M621" s="150"/>
      <c r="N621" s="150"/>
      <c r="O621" s="150"/>
      <c r="P621" s="150"/>
      <c r="Q621" s="150"/>
      <c r="R621" s="150"/>
      <c r="S621" s="150"/>
      <c r="T621" s="186"/>
      <c r="U621" s="186"/>
      <c r="V621" s="186"/>
      <c r="W621" s="186"/>
      <c r="X621" s="186"/>
      <c r="Y621" s="186"/>
      <c r="Z621" s="186"/>
      <c r="AA621" s="186"/>
      <c r="AB621" s="186"/>
      <c r="AC621" s="186"/>
      <c r="AD621" s="186"/>
      <c r="AF621" s="150"/>
      <c r="AG621" s="150"/>
      <c r="AH621" s="150"/>
      <c r="AI621" s="150"/>
      <c r="AJ621" s="150"/>
      <c r="AK621" s="150"/>
      <c r="AL621" s="150"/>
      <c r="AM621" s="150"/>
      <c r="AN621" s="150"/>
      <c r="AO621" s="150"/>
      <c r="AP621" s="150"/>
      <c r="AQ621" s="150"/>
      <c r="AT621" s="186"/>
      <c r="AU621" s="186"/>
      <c r="AV621" s="186"/>
      <c r="AW621" s="186"/>
      <c r="AX621" s="186"/>
      <c r="AY621" s="186"/>
      <c r="AZ621" s="186"/>
      <c r="BA621" s="186"/>
      <c r="BB621" s="186"/>
      <c r="BC621" s="186"/>
      <c r="BD621" s="186"/>
      <c r="BE621" s="186"/>
      <c r="BF621" s="150"/>
      <c r="BG621" s="150"/>
    </row>
    <row r="622" spans="3:59" ht="14.6">
      <c r="C622" s="289"/>
      <c r="D622" s="150"/>
      <c r="E622" s="150"/>
      <c r="F622" s="150"/>
      <c r="G622" s="150"/>
      <c r="H622" s="150"/>
      <c r="I622" s="150"/>
      <c r="J622" s="150"/>
      <c r="K622" s="150"/>
      <c r="L622" s="150"/>
      <c r="M622" s="150"/>
      <c r="N622" s="150"/>
      <c r="O622" s="150"/>
      <c r="P622" s="150"/>
      <c r="Q622" s="150"/>
      <c r="R622" s="150"/>
      <c r="S622" s="150"/>
      <c r="T622" s="186"/>
      <c r="U622" s="186"/>
      <c r="V622" s="186"/>
      <c r="W622" s="186"/>
      <c r="X622" s="186"/>
      <c r="Y622" s="186"/>
      <c r="Z622" s="186"/>
      <c r="AA622" s="186"/>
      <c r="AB622" s="186"/>
      <c r="AC622" s="186"/>
      <c r="AD622" s="186"/>
      <c r="AF622" s="150"/>
      <c r="AG622" s="150"/>
      <c r="AH622" s="150"/>
      <c r="AI622" s="150"/>
      <c r="AJ622" s="150"/>
      <c r="AK622" s="150"/>
      <c r="AL622" s="150"/>
      <c r="AM622" s="150"/>
      <c r="AN622" s="150"/>
      <c r="AO622" s="150"/>
      <c r="AP622" s="150"/>
      <c r="AQ622" s="150"/>
      <c r="AT622" s="186"/>
      <c r="AU622" s="186"/>
      <c r="AV622" s="186"/>
      <c r="AW622" s="186"/>
      <c r="AX622" s="186"/>
      <c r="AY622" s="186"/>
      <c r="AZ622" s="186"/>
      <c r="BA622" s="186"/>
      <c r="BB622" s="186"/>
      <c r="BC622" s="186"/>
      <c r="BD622" s="186"/>
      <c r="BE622" s="186"/>
      <c r="BF622" s="150"/>
      <c r="BG622" s="150"/>
    </row>
    <row r="623" spans="3:59" ht="14.6">
      <c r="C623" s="289"/>
      <c r="D623" s="150"/>
      <c r="E623" s="150"/>
      <c r="F623" s="150"/>
      <c r="G623" s="150"/>
      <c r="H623" s="150"/>
      <c r="I623" s="150"/>
      <c r="J623" s="150"/>
      <c r="K623" s="150"/>
      <c r="L623" s="150"/>
      <c r="M623" s="150"/>
      <c r="N623" s="150"/>
      <c r="O623" s="150"/>
      <c r="P623" s="150"/>
      <c r="Q623" s="150"/>
      <c r="R623" s="150"/>
      <c r="S623" s="150"/>
      <c r="T623" s="186"/>
      <c r="U623" s="186"/>
      <c r="V623" s="186"/>
      <c r="W623" s="186"/>
      <c r="X623" s="186"/>
      <c r="Y623" s="186"/>
      <c r="Z623" s="186"/>
      <c r="AA623" s="186"/>
      <c r="AB623" s="186"/>
      <c r="AC623" s="186"/>
      <c r="AD623" s="186"/>
      <c r="AF623" s="150"/>
      <c r="AG623" s="150"/>
      <c r="AH623" s="150"/>
      <c r="AI623" s="150"/>
      <c r="AJ623" s="150"/>
      <c r="AK623" s="150"/>
      <c r="AL623" s="150"/>
      <c r="AM623" s="150"/>
      <c r="AN623" s="150"/>
      <c r="AO623" s="150"/>
      <c r="AP623" s="150"/>
      <c r="AQ623" s="150"/>
      <c r="AT623" s="186"/>
      <c r="AU623" s="186"/>
      <c r="AV623" s="186"/>
      <c r="AW623" s="186"/>
      <c r="AX623" s="186"/>
      <c r="AY623" s="186"/>
      <c r="AZ623" s="186"/>
      <c r="BA623" s="186"/>
      <c r="BB623" s="186"/>
      <c r="BC623" s="186"/>
      <c r="BD623" s="186"/>
      <c r="BE623" s="186"/>
      <c r="BF623" s="150"/>
      <c r="BG623" s="150"/>
    </row>
    <row r="624" spans="3:59" ht="14.6">
      <c r="C624" s="289"/>
      <c r="D624" s="150"/>
      <c r="E624" s="150"/>
      <c r="F624" s="150"/>
      <c r="G624" s="150"/>
      <c r="H624" s="150"/>
      <c r="I624" s="150"/>
      <c r="J624" s="150"/>
      <c r="K624" s="150"/>
      <c r="L624" s="150"/>
      <c r="M624" s="150"/>
      <c r="N624" s="150"/>
      <c r="O624" s="150"/>
      <c r="P624" s="150"/>
      <c r="Q624" s="150"/>
      <c r="R624" s="150"/>
      <c r="S624" s="150"/>
      <c r="T624" s="186"/>
      <c r="U624" s="186"/>
      <c r="V624" s="186"/>
      <c r="W624" s="186"/>
      <c r="X624" s="186"/>
      <c r="Y624" s="186"/>
      <c r="Z624" s="186"/>
      <c r="AA624" s="186"/>
      <c r="AB624" s="186"/>
      <c r="AC624" s="186"/>
      <c r="AD624" s="186"/>
      <c r="AF624" s="150"/>
      <c r="AG624" s="150"/>
      <c r="AH624" s="150"/>
      <c r="AI624" s="150"/>
      <c r="AJ624" s="150"/>
      <c r="AK624" s="150"/>
      <c r="AL624" s="150"/>
      <c r="AM624" s="150"/>
      <c r="AN624" s="150"/>
      <c r="AO624" s="150"/>
      <c r="AP624" s="150"/>
      <c r="AQ624" s="150"/>
      <c r="AT624" s="186"/>
      <c r="AU624" s="186"/>
      <c r="AV624" s="186"/>
      <c r="AW624" s="186"/>
      <c r="AX624" s="186"/>
      <c r="AY624" s="186"/>
      <c r="AZ624" s="186"/>
      <c r="BA624" s="186"/>
      <c r="BB624" s="186"/>
      <c r="BC624" s="186"/>
      <c r="BD624" s="186"/>
      <c r="BE624" s="186"/>
      <c r="BF624" s="150"/>
      <c r="BG624" s="150"/>
    </row>
    <row r="625" spans="3:59" ht="14.6">
      <c r="C625" s="289"/>
      <c r="D625" s="150"/>
      <c r="E625" s="150"/>
      <c r="F625" s="150"/>
      <c r="G625" s="150"/>
      <c r="H625" s="150"/>
      <c r="I625" s="150"/>
      <c r="J625" s="150"/>
      <c r="K625" s="150"/>
      <c r="L625" s="150"/>
      <c r="M625" s="150"/>
      <c r="N625" s="150"/>
      <c r="O625" s="150"/>
      <c r="P625" s="150"/>
      <c r="Q625" s="150"/>
      <c r="R625" s="150"/>
      <c r="S625" s="150"/>
      <c r="T625" s="186"/>
      <c r="U625" s="186"/>
      <c r="V625" s="186"/>
      <c r="W625" s="186"/>
      <c r="X625" s="186"/>
      <c r="Y625" s="186"/>
      <c r="Z625" s="186"/>
      <c r="AA625" s="186"/>
      <c r="AB625" s="186"/>
      <c r="AC625" s="186"/>
      <c r="AD625" s="186"/>
      <c r="AF625" s="150"/>
      <c r="AG625" s="150"/>
      <c r="AH625" s="150"/>
      <c r="AI625" s="150"/>
      <c r="AJ625" s="150"/>
      <c r="AK625" s="150"/>
      <c r="AL625" s="150"/>
      <c r="AM625" s="150"/>
      <c r="AN625" s="150"/>
      <c r="AO625" s="150"/>
      <c r="AP625" s="150"/>
      <c r="AQ625" s="150"/>
      <c r="AT625" s="186"/>
      <c r="AU625" s="186"/>
      <c r="AV625" s="186"/>
      <c r="AW625" s="186"/>
      <c r="AX625" s="186"/>
      <c r="AY625" s="186"/>
      <c r="AZ625" s="186"/>
      <c r="BA625" s="186"/>
      <c r="BB625" s="186"/>
      <c r="BC625" s="186"/>
      <c r="BD625" s="186"/>
      <c r="BE625" s="186"/>
      <c r="BF625" s="150"/>
      <c r="BG625" s="150"/>
    </row>
    <row r="626" spans="3:59" ht="14.6">
      <c r="C626" s="289"/>
      <c r="D626" s="150"/>
      <c r="E626" s="150"/>
      <c r="F626" s="150"/>
      <c r="G626" s="150"/>
      <c r="H626" s="150"/>
      <c r="I626" s="150"/>
      <c r="J626" s="150"/>
      <c r="K626" s="150"/>
      <c r="L626" s="150"/>
      <c r="M626" s="150"/>
      <c r="N626" s="150"/>
      <c r="O626" s="150"/>
      <c r="P626" s="150"/>
      <c r="Q626" s="150"/>
      <c r="R626" s="150"/>
      <c r="S626" s="150"/>
      <c r="T626" s="186"/>
      <c r="U626" s="186"/>
      <c r="V626" s="186"/>
      <c r="W626" s="186"/>
      <c r="X626" s="186"/>
      <c r="Y626" s="186"/>
      <c r="Z626" s="186"/>
      <c r="AA626" s="186"/>
      <c r="AB626" s="186"/>
      <c r="AC626" s="186"/>
      <c r="AD626" s="186"/>
      <c r="AF626" s="150"/>
      <c r="AG626" s="150"/>
      <c r="AH626" s="150"/>
      <c r="AI626" s="150"/>
      <c r="AJ626" s="150"/>
      <c r="AK626" s="150"/>
      <c r="AL626" s="150"/>
      <c r="AM626" s="150"/>
      <c r="AN626" s="150"/>
      <c r="AO626" s="150"/>
      <c r="AP626" s="150"/>
      <c r="AQ626" s="150"/>
      <c r="AT626" s="186"/>
      <c r="AU626" s="186"/>
      <c r="AV626" s="186"/>
      <c r="AW626" s="186"/>
      <c r="AX626" s="186"/>
      <c r="AY626" s="186"/>
      <c r="AZ626" s="186"/>
      <c r="BA626" s="186"/>
      <c r="BB626" s="186"/>
      <c r="BC626" s="186"/>
      <c r="BD626" s="186"/>
      <c r="BE626" s="186"/>
      <c r="BF626" s="150"/>
      <c r="BG626" s="150"/>
    </row>
    <row r="627" spans="3:59" ht="14.6">
      <c r="C627" s="289"/>
      <c r="D627" s="150"/>
      <c r="E627" s="150"/>
      <c r="F627" s="150"/>
      <c r="G627" s="150"/>
      <c r="H627" s="150"/>
      <c r="I627" s="150"/>
      <c r="J627" s="150"/>
      <c r="K627" s="150"/>
      <c r="L627" s="150"/>
      <c r="M627" s="150"/>
      <c r="N627" s="150"/>
      <c r="O627" s="150"/>
      <c r="P627" s="150"/>
      <c r="Q627" s="150"/>
      <c r="R627" s="150"/>
      <c r="S627" s="150"/>
      <c r="T627" s="186"/>
      <c r="U627" s="186"/>
      <c r="V627" s="186"/>
      <c r="W627" s="186"/>
      <c r="X627" s="186"/>
      <c r="Y627" s="186"/>
      <c r="Z627" s="186"/>
      <c r="AA627" s="186"/>
      <c r="AB627" s="186"/>
      <c r="AC627" s="186"/>
      <c r="AD627" s="186"/>
      <c r="AF627" s="150"/>
      <c r="AG627" s="150"/>
      <c r="AH627" s="150"/>
      <c r="AI627" s="150"/>
      <c r="AJ627" s="150"/>
      <c r="AK627" s="150"/>
      <c r="AL627" s="150"/>
      <c r="AM627" s="150"/>
      <c r="AN627" s="150"/>
      <c r="AO627" s="150"/>
      <c r="AP627" s="150"/>
      <c r="AQ627" s="150"/>
      <c r="AT627" s="186"/>
      <c r="AU627" s="186"/>
      <c r="AV627" s="186"/>
      <c r="AW627" s="186"/>
      <c r="AX627" s="186"/>
      <c r="AY627" s="186"/>
      <c r="AZ627" s="186"/>
      <c r="BA627" s="186"/>
      <c r="BB627" s="186"/>
      <c r="BC627" s="186"/>
      <c r="BD627" s="186"/>
      <c r="BE627" s="186"/>
      <c r="BF627" s="150"/>
      <c r="BG627" s="150"/>
    </row>
    <row r="628" spans="3:59" ht="14.6">
      <c r="C628" s="289"/>
      <c r="D628" s="150"/>
      <c r="E628" s="150"/>
      <c r="F628" s="150"/>
      <c r="G628" s="150"/>
      <c r="H628" s="150"/>
      <c r="I628" s="150"/>
      <c r="J628" s="150"/>
      <c r="K628" s="150"/>
      <c r="L628" s="150"/>
      <c r="M628" s="150"/>
      <c r="N628" s="150"/>
      <c r="O628" s="150"/>
      <c r="P628" s="150"/>
      <c r="Q628" s="150"/>
      <c r="R628" s="150"/>
      <c r="S628" s="150"/>
      <c r="T628" s="186"/>
      <c r="U628" s="186"/>
      <c r="V628" s="186"/>
      <c r="W628" s="186"/>
      <c r="X628" s="186"/>
      <c r="Y628" s="186"/>
      <c r="Z628" s="186"/>
      <c r="AA628" s="186"/>
      <c r="AB628" s="186"/>
      <c r="AC628" s="186"/>
      <c r="AD628" s="186"/>
      <c r="AF628" s="150"/>
      <c r="AG628" s="150"/>
      <c r="AH628" s="150"/>
      <c r="AI628" s="150"/>
      <c r="AJ628" s="150"/>
      <c r="AK628" s="150"/>
      <c r="AL628" s="150"/>
      <c r="AM628" s="150"/>
      <c r="AN628" s="150"/>
      <c r="AO628" s="150"/>
      <c r="AP628" s="150"/>
      <c r="AQ628" s="150"/>
      <c r="AT628" s="186"/>
      <c r="AU628" s="186"/>
      <c r="AV628" s="186"/>
      <c r="AW628" s="186"/>
      <c r="AX628" s="186"/>
      <c r="AY628" s="186"/>
      <c r="AZ628" s="186"/>
      <c r="BA628" s="186"/>
      <c r="BB628" s="186"/>
      <c r="BC628" s="186"/>
      <c r="BD628" s="186"/>
      <c r="BE628" s="186"/>
      <c r="BF628" s="150"/>
      <c r="BG628" s="150"/>
    </row>
    <row r="629" spans="3:59" ht="14.6">
      <c r="C629" s="289"/>
      <c r="D629" s="150"/>
      <c r="E629" s="150"/>
      <c r="F629" s="150"/>
      <c r="G629" s="150"/>
      <c r="H629" s="150"/>
      <c r="I629" s="150"/>
      <c r="J629" s="150"/>
      <c r="K629" s="150"/>
      <c r="L629" s="150"/>
      <c r="M629" s="150"/>
      <c r="N629" s="150"/>
      <c r="O629" s="150"/>
      <c r="P629" s="150"/>
      <c r="Q629" s="150"/>
      <c r="R629" s="150"/>
      <c r="S629" s="150"/>
      <c r="T629" s="186"/>
      <c r="U629" s="186"/>
      <c r="V629" s="186"/>
      <c r="W629" s="186"/>
      <c r="X629" s="186"/>
      <c r="Y629" s="186"/>
      <c r="Z629" s="186"/>
      <c r="AA629" s="186"/>
      <c r="AB629" s="186"/>
      <c r="AC629" s="186"/>
      <c r="AD629" s="186"/>
      <c r="AF629" s="150"/>
      <c r="AG629" s="150"/>
      <c r="AH629" s="150"/>
      <c r="AI629" s="150"/>
      <c r="AJ629" s="150"/>
      <c r="AK629" s="150"/>
      <c r="AL629" s="150"/>
      <c r="AM629" s="150"/>
      <c r="AN629" s="150"/>
      <c r="AO629" s="150"/>
      <c r="AP629" s="150"/>
      <c r="AQ629" s="150"/>
      <c r="AT629" s="186"/>
      <c r="AU629" s="186"/>
      <c r="AV629" s="186"/>
      <c r="AW629" s="186"/>
      <c r="AX629" s="186"/>
      <c r="AY629" s="186"/>
      <c r="AZ629" s="186"/>
      <c r="BA629" s="186"/>
      <c r="BB629" s="186"/>
      <c r="BC629" s="186"/>
      <c r="BD629" s="186"/>
      <c r="BE629" s="186"/>
      <c r="BF629" s="150"/>
      <c r="BG629" s="150"/>
    </row>
    <row r="630" spans="3:59" ht="14.6">
      <c r="C630" s="289"/>
      <c r="D630" s="150"/>
      <c r="E630" s="150"/>
      <c r="F630" s="150"/>
      <c r="G630" s="150"/>
      <c r="H630" s="150"/>
      <c r="I630" s="150"/>
      <c r="J630" s="150"/>
      <c r="K630" s="150"/>
      <c r="L630" s="150"/>
      <c r="M630" s="150"/>
      <c r="N630" s="150"/>
      <c r="O630" s="150"/>
      <c r="P630" s="150"/>
      <c r="Q630" s="150"/>
      <c r="R630" s="150"/>
      <c r="S630" s="150"/>
      <c r="T630" s="186"/>
      <c r="U630" s="186"/>
      <c r="V630" s="186"/>
      <c r="W630" s="186"/>
      <c r="X630" s="186"/>
      <c r="Y630" s="186"/>
      <c r="Z630" s="186"/>
      <c r="AA630" s="186"/>
      <c r="AB630" s="186"/>
      <c r="AC630" s="186"/>
      <c r="AD630" s="186"/>
      <c r="AF630" s="150"/>
      <c r="AG630" s="150"/>
      <c r="AH630" s="150"/>
      <c r="AI630" s="150"/>
      <c r="AJ630" s="150"/>
      <c r="AK630" s="150"/>
      <c r="AL630" s="150"/>
      <c r="AM630" s="150"/>
      <c r="AN630" s="150"/>
      <c r="AO630" s="150"/>
      <c r="AP630" s="150"/>
      <c r="AQ630" s="150"/>
      <c r="AT630" s="186"/>
      <c r="AU630" s="186"/>
      <c r="AV630" s="186"/>
      <c r="AW630" s="186"/>
      <c r="AX630" s="186"/>
      <c r="AY630" s="186"/>
      <c r="AZ630" s="186"/>
      <c r="BA630" s="186"/>
      <c r="BB630" s="186"/>
      <c r="BC630" s="186"/>
      <c r="BD630" s="186"/>
      <c r="BE630" s="186"/>
      <c r="BF630" s="150"/>
      <c r="BG630" s="150"/>
    </row>
    <row r="631" spans="3:59" ht="14.6">
      <c r="C631" s="289"/>
      <c r="D631" s="150"/>
      <c r="E631" s="150"/>
      <c r="F631" s="150"/>
      <c r="G631" s="150"/>
      <c r="H631" s="150"/>
      <c r="I631" s="150"/>
      <c r="J631" s="150"/>
      <c r="K631" s="150"/>
      <c r="L631" s="150"/>
      <c r="M631" s="150"/>
      <c r="N631" s="150"/>
      <c r="O631" s="150"/>
      <c r="P631" s="150"/>
      <c r="Q631" s="150"/>
      <c r="R631" s="150"/>
      <c r="S631" s="150"/>
      <c r="T631" s="186"/>
      <c r="U631" s="186"/>
      <c r="V631" s="186"/>
      <c r="W631" s="186"/>
      <c r="X631" s="186"/>
      <c r="Y631" s="186"/>
      <c r="Z631" s="186"/>
      <c r="AA631" s="186"/>
      <c r="AB631" s="186"/>
      <c r="AC631" s="186"/>
      <c r="AD631" s="186"/>
      <c r="AF631" s="150"/>
      <c r="AG631" s="150"/>
      <c r="AH631" s="150"/>
      <c r="AI631" s="150"/>
      <c r="AJ631" s="150"/>
      <c r="AK631" s="150"/>
      <c r="AL631" s="150"/>
      <c r="AM631" s="150"/>
      <c r="AN631" s="150"/>
      <c r="AO631" s="150"/>
      <c r="AP631" s="150"/>
      <c r="AQ631" s="150"/>
      <c r="AT631" s="186"/>
      <c r="AU631" s="186"/>
      <c r="AV631" s="186"/>
      <c r="AW631" s="186"/>
      <c r="AX631" s="186"/>
      <c r="AY631" s="186"/>
      <c r="AZ631" s="186"/>
      <c r="BA631" s="186"/>
      <c r="BB631" s="186"/>
      <c r="BC631" s="186"/>
      <c r="BD631" s="186"/>
      <c r="BE631" s="186"/>
      <c r="BF631" s="150"/>
      <c r="BG631" s="150"/>
    </row>
    <row r="632" spans="3:59" ht="14.6">
      <c r="C632" s="289"/>
      <c r="D632" s="150"/>
      <c r="E632" s="150"/>
      <c r="F632" s="150"/>
      <c r="G632" s="150"/>
      <c r="H632" s="150"/>
      <c r="I632" s="150"/>
      <c r="J632" s="150"/>
      <c r="K632" s="150"/>
      <c r="L632" s="150"/>
      <c r="M632" s="150"/>
      <c r="N632" s="150"/>
      <c r="O632" s="150"/>
      <c r="P632" s="150"/>
      <c r="Q632" s="150"/>
      <c r="R632" s="150"/>
      <c r="S632" s="150"/>
      <c r="T632" s="186"/>
      <c r="U632" s="186"/>
      <c r="V632" s="186"/>
      <c r="W632" s="186"/>
      <c r="X632" s="186"/>
      <c r="Y632" s="186"/>
      <c r="Z632" s="186"/>
      <c r="AA632" s="186"/>
      <c r="AB632" s="186"/>
      <c r="AC632" s="186"/>
      <c r="AD632" s="186"/>
      <c r="AF632" s="150"/>
      <c r="AG632" s="150"/>
      <c r="AH632" s="150"/>
      <c r="AI632" s="150"/>
      <c r="AJ632" s="150"/>
      <c r="AK632" s="150"/>
      <c r="AL632" s="150"/>
      <c r="AM632" s="150"/>
      <c r="AN632" s="150"/>
      <c r="AO632" s="150"/>
      <c r="AP632" s="150"/>
      <c r="AQ632" s="150"/>
      <c r="AT632" s="186"/>
      <c r="AU632" s="186"/>
      <c r="AV632" s="186"/>
      <c r="AW632" s="186"/>
      <c r="AX632" s="186"/>
      <c r="AY632" s="186"/>
      <c r="AZ632" s="186"/>
      <c r="BA632" s="186"/>
      <c r="BB632" s="186"/>
      <c r="BC632" s="186"/>
      <c r="BD632" s="186"/>
      <c r="BE632" s="186"/>
      <c r="BF632" s="150"/>
      <c r="BG632" s="150"/>
    </row>
    <row r="633" spans="3:59" ht="14.6">
      <c r="C633" s="289"/>
      <c r="D633" s="150"/>
      <c r="E633" s="150"/>
      <c r="F633" s="150"/>
      <c r="G633" s="150"/>
      <c r="H633" s="150"/>
      <c r="I633" s="150"/>
      <c r="J633" s="150"/>
      <c r="K633" s="150"/>
      <c r="L633" s="150"/>
      <c r="M633" s="150"/>
      <c r="N633" s="150"/>
      <c r="O633" s="150"/>
      <c r="P633" s="150"/>
      <c r="Q633" s="150"/>
      <c r="R633" s="150"/>
      <c r="S633" s="150"/>
      <c r="T633" s="186"/>
      <c r="U633" s="186"/>
      <c r="V633" s="186"/>
      <c r="W633" s="186"/>
      <c r="X633" s="186"/>
      <c r="Y633" s="186"/>
      <c r="Z633" s="186"/>
      <c r="AA633" s="186"/>
      <c r="AB633" s="186"/>
      <c r="AC633" s="186"/>
      <c r="AD633" s="186"/>
      <c r="AF633" s="150"/>
      <c r="AG633" s="150"/>
      <c r="AH633" s="150"/>
      <c r="AI633" s="150"/>
      <c r="AJ633" s="150"/>
      <c r="AK633" s="150"/>
      <c r="AL633" s="150"/>
      <c r="AM633" s="150"/>
      <c r="AN633" s="150"/>
      <c r="AO633" s="150"/>
      <c r="AP633" s="150"/>
      <c r="AQ633" s="150"/>
      <c r="AT633" s="186"/>
      <c r="AU633" s="186"/>
      <c r="AV633" s="186"/>
      <c r="AW633" s="186"/>
      <c r="AX633" s="186"/>
      <c r="AY633" s="186"/>
      <c r="AZ633" s="186"/>
      <c r="BA633" s="186"/>
      <c r="BB633" s="186"/>
      <c r="BC633" s="186"/>
      <c r="BD633" s="186"/>
      <c r="BE633" s="186"/>
      <c r="BF633" s="150"/>
      <c r="BG633" s="150"/>
    </row>
    <row r="634" spans="3:59" ht="14.6">
      <c r="C634" s="289"/>
      <c r="D634" s="150"/>
      <c r="E634" s="150"/>
      <c r="F634" s="150"/>
      <c r="G634" s="150"/>
      <c r="H634" s="150"/>
      <c r="I634" s="150"/>
      <c r="J634" s="150"/>
      <c r="K634" s="150"/>
      <c r="L634" s="150"/>
      <c r="M634" s="150"/>
      <c r="N634" s="150"/>
      <c r="O634" s="150"/>
      <c r="P634" s="150"/>
      <c r="Q634" s="150"/>
      <c r="R634" s="150"/>
      <c r="S634" s="150"/>
      <c r="T634" s="186"/>
      <c r="U634" s="186"/>
      <c r="V634" s="186"/>
      <c r="W634" s="186"/>
      <c r="X634" s="186"/>
      <c r="Y634" s="186"/>
      <c r="Z634" s="186"/>
      <c r="AA634" s="186"/>
      <c r="AB634" s="186"/>
      <c r="AC634" s="186"/>
      <c r="AD634" s="186"/>
      <c r="AF634" s="150"/>
      <c r="AG634" s="150"/>
      <c r="AH634" s="150"/>
      <c r="AI634" s="150"/>
      <c r="AJ634" s="150"/>
      <c r="AK634" s="150"/>
      <c r="AL634" s="150"/>
      <c r="AM634" s="150"/>
      <c r="AN634" s="150"/>
      <c r="AO634" s="150"/>
      <c r="AP634" s="150"/>
      <c r="AQ634" s="150"/>
      <c r="AT634" s="186"/>
      <c r="AU634" s="186"/>
      <c r="AV634" s="186"/>
      <c r="AW634" s="186"/>
      <c r="AX634" s="186"/>
      <c r="AY634" s="186"/>
      <c r="AZ634" s="186"/>
      <c r="BA634" s="186"/>
      <c r="BB634" s="186"/>
      <c r="BC634" s="186"/>
      <c r="BD634" s="186"/>
      <c r="BE634" s="186"/>
      <c r="BF634" s="150"/>
      <c r="BG634" s="150"/>
    </row>
    <row r="635" spans="3:59" ht="14.6">
      <c r="C635" s="289"/>
      <c r="D635" s="150"/>
      <c r="E635" s="150"/>
      <c r="F635" s="150"/>
      <c r="G635" s="150"/>
      <c r="H635" s="150"/>
      <c r="I635" s="150"/>
      <c r="J635" s="150"/>
      <c r="K635" s="150"/>
      <c r="L635" s="150"/>
      <c r="M635" s="150"/>
      <c r="N635" s="150"/>
      <c r="O635" s="150"/>
      <c r="P635" s="150"/>
      <c r="Q635" s="150"/>
      <c r="R635" s="150"/>
      <c r="S635" s="150"/>
      <c r="T635" s="186"/>
      <c r="U635" s="186"/>
      <c r="V635" s="186"/>
      <c r="W635" s="186"/>
      <c r="X635" s="186"/>
      <c r="Y635" s="186"/>
      <c r="Z635" s="186"/>
      <c r="AA635" s="186"/>
      <c r="AB635" s="186"/>
      <c r="AC635" s="186"/>
      <c r="AD635" s="186"/>
      <c r="AF635" s="150"/>
      <c r="AG635" s="150"/>
      <c r="AH635" s="150"/>
      <c r="AI635" s="150"/>
      <c r="AJ635" s="150"/>
      <c r="AK635" s="150"/>
      <c r="AL635" s="150"/>
      <c r="AM635" s="150"/>
      <c r="AN635" s="150"/>
      <c r="AO635" s="150"/>
      <c r="AP635" s="150"/>
      <c r="AQ635" s="150"/>
      <c r="AT635" s="186"/>
      <c r="AU635" s="186"/>
      <c r="AV635" s="186"/>
      <c r="AW635" s="186"/>
      <c r="AX635" s="186"/>
      <c r="AY635" s="186"/>
      <c r="AZ635" s="186"/>
      <c r="BA635" s="186"/>
      <c r="BB635" s="186"/>
      <c r="BC635" s="186"/>
      <c r="BD635" s="186"/>
      <c r="BE635" s="186"/>
      <c r="BF635" s="150"/>
      <c r="BG635" s="150"/>
    </row>
    <row r="636" spans="3:59" ht="14.6">
      <c r="C636" s="289"/>
      <c r="D636" s="150"/>
      <c r="E636" s="150"/>
      <c r="F636" s="150"/>
      <c r="G636" s="150"/>
      <c r="H636" s="150"/>
      <c r="I636" s="150"/>
      <c r="J636" s="150"/>
      <c r="K636" s="150"/>
      <c r="L636" s="150"/>
      <c r="M636" s="150"/>
      <c r="N636" s="150"/>
      <c r="O636" s="150"/>
      <c r="P636" s="150"/>
      <c r="Q636" s="150"/>
      <c r="R636" s="150"/>
      <c r="S636" s="150"/>
      <c r="T636" s="186"/>
      <c r="U636" s="186"/>
      <c r="V636" s="186"/>
      <c r="W636" s="186"/>
      <c r="X636" s="186"/>
      <c r="Y636" s="186"/>
      <c r="Z636" s="186"/>
      <c r="AA636" s="186"/>
      <c r="AB636" s="186"/>
      <c r="AC636" s="186"/>
      <c r="AD636" s="186"/>
      <c r="AF636" s="150"/>
      <c r="AG636" s="150"/>
      <c r="AH636" s="150"/>
      <c r="AI636" s="150"/>
      <c r="AJ636" s="150"/>
      <c r="AK636" s="150"/>
      <c r="AL636" s="150"/>
      <c r="AM636" s="150"/>
      <c r="AN636" s="150"/>
      <c r="AO636" s="150"/>
      <c r="AP636" s="150"/>
      <c r="AQ636" s="150"/>
      <c r="AT636" s="186"/>
      <c r="AU636" s="186"/>
      <c r="AV636" s="186"/>
      <c r="AW636" s="186"/>
      <c r="AX636" s="186"/>
      <c r="AY636" s="186"/>
      <c r="AZ636" s="186"/>
      <c r="BA636" s="186"/>
      <c r="BB636" s="186"/>
      <c r="BC636" s="186"/>
      <c r="BD636" s="186"/>
      <c r="BE636" s="186"/>
      <c r="BF636" s="150"/>
      <c r="BG636" s="150"/>
    </row>
    <row r="637" spans="3:59" ht="14.6">
      <c r="C637" s="289"/>
      <c r="D637" s="150"/>
      <c r="E637" s="150"/>
      <c r="F637" s="150"/>
      <c r="G637" s="150"/>
      <c r="H637" s="150"/>
      <c r="I637" s="150"/>
      <c r="J637" s="150"/>
      <c r="K637" s="150"/>
      <c r="L637" s="150"/>
      <c r="M637" s="150"/>
      <c r="N637" s="150"/>
      <c r="O637" s="150"/>
      <c r="P637" s="150"/>
      <c r="Q637" s="150"/>
      <c r="R637" s="150"/>
      <c r="S637" s="150"/>
      <c r="T637" s="186"/>
      <c r="U637" s="186"/>
      <c r="V637" s="186"/>
      <c r="W637" s="186"/>
      <c r="X637" s="186"/>
      <c r="Y637" s="186"/>
      <c r="Z637" s="186"/>
      <c r="AA637" s="186"/>
      <c r="AB637" s="186"/>
      <c r="AC637" s="186"/>
      <c r="AD637" s="186"/>
      <c r="AF637" s="150"/>
      <c r="AG637" s="150"/>
      <c r="AH637" s="150"/>
      <c r="AI637" s="150"/>
      <c r="AJ637" s="150"/>
      <c r="AK637" s="150"/>
      <c r="AL637" s="150"/>
      <c r="AM637" s="150"/>
      <c r="AN637" s="150"/>
      <c r="AO637" s="150"/>
      <c r="AP637" s="150"/>
      <c r="AQ637" s="150"/>
      <c r="AT637" s="186"/>
      <c r="AU637" s="186"/>
      <c r="AV637" s="186"/>
      <c r="AW637" s="186"/>
      <c r="AX637" s="186"/>
      <c r="AY637" s="186"/>
      <c r="AZ637" s="186"/>
      <c r="BA637" s="186"/>
      <c r="BB637" s="186"/>
      <c r="BC637" s="186"/>
      <c r="BD637" s="186"/>
      <c r="BE637" s="186"/>
      <c r="BF637" s="150"/>
      <c r="BG637" s="150"/>
    </row>
    <row r="638" spans="3:59" ht="14.6">
      <c r="C638" s="289"/>
      <c r="D638" s="150"/>
      <c r="E638" s="150"/>
      <c r="F638" s="150"/>
      <c r="G638" s="150"/>
      <c r="H638" s="150"/>
      <c r="I638" s="150"/>
      <c r="J638" s="150"/>
      <c r="K638" s="150"/>
      <c r="L638" s="150"/>
      <c r="M638" s="150"/>
      <c r="N638" s="150"/>
      <c r="O638" s="150"/>
      <c r="P638" s="150"/>
      <c r="Q638" s="150"/>
      <c r="R638" s="150"/>
      <c r="S638" s="150"/>
      <c r="T638" s="186"/>
      <c r="U638" s="186"/>
      <c r="V638" s="186"/>
      <c r="W638" s="186"/>
      <c r="X638" s="186"/>
      <c r="Y638" s="186"/>
      <c r="Z638" s="186"/>
      <c r="AA638" s="186"/>
      <c r="AB638" s="186"/>
      <c r="AC638" s="186"/>
      <c r="AD638" s="186"/>
      <c r="AF638" s="150"/>
      <c r="AG638" s="150"/>
      <c r="AH638" s="150"/>
      <c r="AI638" s="150"/>
      <c r="AJ638" s="150"/>
      <c r="AK638" s="150"/>
      <c r="AL638" s="150"/>
      <c r="AM638" s="150"/>
      <c r="AN638" s="150"/>
      <c r="AO638" s="150"/>
      <c r="AP638" s="150"/>
      <c r="AQ638" s="150"/>
      <c r="AT638" s="186"/>
      <c r="AU638" s="186"/>
      <c r="AV638" s="186"/>
      <c r="AW638" s="186"/>
      <c r="AX638" s="186"/>
      <c r="AY638" s="186"/>
      <c r="AZ638" s="186"/>
      <c r="BA638" s="186"/>
      <c r="BB638" s="186"/>
      <c r="BC638" s="186"/>
      <c r="BD638" s="186"/>
      <c r="BE638" s="186"/>
      <c r="BF638" s="150"/>
      <c r="BG638" s="150"/>
    </row>
    <row r="639" spans="3:59" ht="14.6">
      <c r="C639" s="289"/>
      <c r="D639" s="150"/>
      <c r="E639" s="150"/>
      <c r="F639" s="150"/>
      <c r="G639" s="150"/>
      <c r="H639" s="150"/>
      <c r="I639" s="150"/>
      <c r="J639" s="150"/>
      <c r="K639" s="150"/>
      <c r="L639" s="150"/>
      <c r="M639" s="150"/>
      <c r="N639" s="150"/>
      <c r="O639" s="150"/>
      <c r="P639" s="150"/>
      <c r="Q639" s="150"/>
      <c r="R639" s="150"/>
      <c r="S639" s="150"/>
      <c r="T639" s="186"/>
      <c r="U639" s="186"/>
      <c r="V639" s="186"/>
      <c r="W639" s="186"/>
      <c r="X639" s="186"/>
      <c r="Y639" s="186"/>
      <c r="Z639" s="186"/>
      <c r="AA639" s="186"/>
      <c r="AB639" s="186"/>
      <c r="AC639" s="186"/>
      <c r="AD639" s="186"/>
      <c r="AF639" s="150"/>
      <c r="AG639" s="150"/>
      <c r="AH639" s="150"/>
      <c r="AI639" s="150"/>
      <c r="AJ639" s="150"/>
      <c r="AK639" s="150"/>
      <c r="AL639" s="150"/>
      <c r="AM639" s="150"/>
      <c r="AN639" s="150"/>
      <c r="AO639" s="150"/>
      <c r="AP639" s="150"/>
      <c r="AQ639" s="150"/>
      <c r="AT639" s="186"/>
      <c r="AU639" s="186"/>
      <c r="AV639" s="186"/>
      <c r="AW639" s="186"/>
      <c r="AX639" s="186"/>
      <c r="AY639" s="186"/>
      <c r="AZ639" s="186"/>
      <c r="BA639" s="186"/>
      <c r="BB639" s="186"/>
      <c r="BC639" s="186"/>
      <c r="BD639" s="186"/>
      <c r="BE639" s="186"/>
      <c r="BF639" s="150"/>
      <c r="BG639" s="150"/>
    </row>
    <row r="640" spans="3:59" ht="14.6">
      <c r="C640" s="289"/>
      <c r="D640" s="150"/>
      <c r="E640" s="150"/>
      <c r="F640" s="150"/>
      <c r="G640" s="150"/>
      <c r="H640" s="150"/>
      <c r="I640" s="150"/>
      <c r="J640" s="150"/>
      <c r="K640" s="150"/>
      <c r="L640" s="150"/>
      <c r="M640" s="150"/>
      <c r="N640" s="150"/>
      <c r="O640" s="150"/>
      <c r="P640" s="150"/>
      <c r="Q640" s="150"/>
      <c r="R640" s="150"/>
      <c r="S640" s="150"/>
      <c r="T640" s="186"/>
      <c r="U640" s="186"/>
      <c r="V640" s="186"/>
      <c r="W640" s="186"/>
      <c r="X640" s="186"/>
      <c r="Y640" s="186"/>
      <c r="Z640" s="186"/>
      <c r="AA640" s="186"/>
      <c r="AB640" s="186"/>
      <c r="AC640" s="186"/>
      <c r="AD640" s="186"/>
      <c r="AF640" s="150"/>
      <c r="AG640" s="150"/>
      <c r="AH640" s="150"/>
      <c r="AI640" s="150"/>
      <c r="AJ640" s="150"/>
      <c r="AK640" s="150"/>
      <c r="AL640" s="150"/>
      <c r="AM640" s="150"/>
      <c r="AN640" s="150"/>
      <c r="AO640" s="150"/>
      <c r="AP640" s="150"/>
      <c r="AQ640" s="150"/>
      <c r="AT640" s="186"/>
      <c r="AU640" s="186"/>
      <c r="AV640" s="186"/>
      <c r="AW640" s="186"/>
      <c r="AX640" s="186"/>
      <c r="AY640" s="186"/>
      <c r="AZ640" s="186"/>
      <c r="BA640" s="186"/>
      <c r="BB640" s="186"/>
      <c r="BC640" s="186"/>
      <c r="BD640" s="186"/>
      <c r="BE640" s="186"/>
      <c r="BF640" s="150"/>
      <c r="BG640" s="150"/>
    </row>
    <row r="641" spans="3:59" ht="14.6">
      <c r="C641" s="289"/>
      <c r="D641" s="150"/>
      <c r="E641" s="150"/>
      <c r="F641" s="150"/>
      <c r="G641" s="150"/>
      <c r="H641" s="150"/>
      <c r="I641" s="150"/>
      <c r="J641" s="150"/>
      <c r="K641" s="150"/>
      <c r="L641" s="150"/>
      <c r="M641" s="150"/>
      <c r="N641" s="150"/>
      <c r="O641" s="150"/>
      <c r="P641" s="150"/>
      <c r="Q641" s="150"/>
      <c r="R641" s="150"/>
      <c r="S641" s="150"/>
      <c r="T641" s="186"/>
      <c r="U641" s="186"/>
      <c r="V641" s="186"/>
      <c r="W641" s="186"/>
      <c r="X641" s="186"/>
      <c r="Y641" s="186"/>
      <c r="Z641" s="186"/>
      <c r="AA641" s="186"/>
      <c r="AB641" s="186"/>
      <c r="AC641" s="186"/>
      <c r="AD641" s="186"/>
      <c r="AF641" s="150"/>
      <c r="AG641" s="150"/>
      <c r="AH641" s="150"/>
      <c r="AI641" s="150"/>
      <c r="AJ641" s="150"/>
      <c r="AK641" s="150"/>
      <c r="AL641" s="150"/>
      <c r="AM641" s="150"/>
      <c r="AN641" s="150"/>
      <c r="AO641" s="150"/>
      <c r="AP641" s="150"/>
      <c r="AQ641" s="150"/>
      <c r="AT641" s="186"/>
      <c r="AU641" s="186"/>
      <c r="AV641" s="186"/>
      <c r="AW641" s="186"/>
      <c r="AX641" s="186"/>
      <c r="AY641" s="186"/>
      <c r="AZ641" s="186"/>
      <c r="BA641" s="186"/>
      <c r="BB641" s="186"/>
      <c r="BC641" s="186"/>
      <c r="BD641" s="186"/>
      <c r="BE641" s="186"/>
      <c r="BF641" s="150"/>
      <c r="BG641" s="150"/>
    </row>
    <row r="642" spans="3:59" ht="14.6">
      <c r="C642" s="289"/>
      <c r="D642" s="150"/>
      <c r="E642" s="150"/>
      <c r="F642" s="150"/>
      <c r="G642" s="150"/>
      <c r="H642" s="150"/>
      <c r="I642" s="150"/>
      <c r="J642" s="150"/>
      <c r="K642" s="150"/>
      <c r="L642" s="150"/>
      <c r="M642" s="150"/>
      <c r="N642" s="150"/>
      <c r="O642" s="150"/>
      <c r="P642" s="150"/>
      <c r="Q642" s="150"/>
      <c r="R642" s="150"/>
      <c r="S642" s="150"/>
      <c r="T642" s="186"/>
      <c r="U642" s="186"/>
      <c r="V642" s="186"/>
      <c r="W642" s="186"/>
      <c r="X642" s="186"/>
      <c r="Y642" s="186"/>
      <c r="Z642" s="186"/>
      <c r="AA642" s="186"/>
      <c r="AB642" s="186"/>
      <c r="AC642" s="186"/>
      <c r="AD642" s="186"/>
      <c r="AF642" s="150"/>
      <c r="AG642" s="150"/>
      <c r="AH642" s="150"/>
      <c r="AI642" s="150"/>
      <c r="AJ642" s="150"/>
      <c r="AK642" s="150"/>
      <c r="AL642" s="150"/>
      <c r="AM642" s="150"/>
      <c r="AN642" s="150"/>
      <c r="AO642" s="150"/>
      <c r="AP642" s="150"/>
      <c r="AQ642" s="150"/>
      <c r="AT642" s="186"/>
      <c r="AU642" s="186"/>
      <c r="AV642" s="186"/>
      <c r="AW642" s="186"/>
      <c r="AX642" s="186"/>
      <c r="AY642" s="186"/>
      <c r="AZ642" s="186"/>
      <c r="BA642" s="186"/>
      <c r="BB642" s="186"/>
      <c r="BC642" s="186"/>
      <c r="BD642" s="186"/>
      <c r="BE642" s="186"/>
      <c r="BF642" s="150"/>
      <c r="BG642" s="150"/>
    </row>
    <row r="643" spans="3:59" ht="14.6">
      <c r="C643" s="289"/>
      <c r="D643" s="150"/>
      <c r="E643" s="150"/>
      <c r="F643" s="150"/>
      <c r="G643" s="150"/>
      <c r="H643" s="150"/>
      <c r="I643" s="150"/>
      <c r="J643" s="150"/>
      <c r="K643" s="150"/>
      <c r="L643" s="150"/>
      <c r="M643" s="150"/>
      <c r="N643" s="150"/>
      <c r="O643" s="150"/>
      <c r="P643" s="150"/>
      <c r="Q643" s="150"/>
      <c r="R643" s="150"/>
      <c r="S643" s="150"/>
      <c r="T643" s="186"/>
      <c r="U643" s="186"/>
      <c r="V643" s="186"/>
      <c r="W643" s="186"/>
      <c r="X643" s="186"/>
      <c r="Y643" s="186"/>
      <c r="Z643" s="186"/>
      <c r="AA643" s="186"/>
      <c r="AB643" s="186"/>
      <c r="AC643" s="186"/>
      <c r="AD643" s="186"/>
      <c r="AF643" s="150"/>
      <c r="AG643" s="150"/>
      <c r="AH643" s="150"/>
      <c r="AI643" s="150"/>
      <c r="AJ643" s="150"/>
      <c r="AK643" s="150"/>
      <c r="AL643" s="150"/>
      <c r="AM643" s="150"/>
      <c r="AN643" s="150"/>
      <c r="AO643" s="150"/>
      <c r="AP643" s="150"/>
      <c r="AQ643" s="150"/>
      <c r="AT643" s="186"/>
      <c r="AU643" s="186"/>
      <c r="AV643" s="186"/>
      <c r="AW643" s="186"/>
      <c r="AX643" s="186"/>
      <c r="AY643" s="186"/>
      <c r="AZ643" s="186"/>
      <c r="BA643" s="186"/>
      <c r="BB643" s="186"/>
      <c r="BC643" s="186"/>
      <c r="BD643" s="186"/>
      <c r="BE643" s="186"/>
      <c r="BF643" s="150"/>
      <c r="BG643" s="150"/>
    </row>
    <row r="644" spans="3:59" ht="14.6">
      <c r="C644" s="289"/>
      <c r="D644" s="150"/>
      <c r="E644" s="150"/>
      <c r="F644" s="150"/>
      <c r="G644" s="150"/>
      <c r="H644" s="150"/>
      <c r="I644" s="150"/>
      <c r="J644" s="150"/>
      <c r="K644" s="150"/>
      <c r="L644" s="150"/>
      <c r="M644" s="150"/>
      <c r="N644" s="150"/>
      <c r="O644" s="150"/>
      <c r="P644" s="150"/>
      <c r="Q644" s="150"/>
      <c r="R644" s="150"/>
      <c r="S644" s="150"/>
      <c r="T644" s="186"/>
      <c r="U644" s="186"/>
      <c r="V644" s="186"/>
      <c r="W644" s="186"/>
      <c r="X644" s="186"/>
      <c r="Y644" s="186"/>
      <c r="Z644" s="186"/>
      <c r="AA644" s="186"/>
      <c r="AB644" s="186"/>
      <c r="AC644" s="186"/>
      <c r="AD644" s="186"/>
      <c r="AF644" s="150"/>
      <c r="AG644" s="150"/>
      <c r="AH644" s="150"/>
      <c r="AI644" s="150"/>
      <c r="AJ644" s="150"/>
      <c r="AK644" s="150"/>
      <c r="AL644" s="150"/>
      <c r="AM644" s="150"/>
      <c r="AN644" s="150"/>
      <c r="AO644" s="150"/>
      <c r="AP644" s="150"/>
      <c r="AQ644" s="150"/>
      <c r="AT644" s="186"/>
      <c r="AU644" s="186"/>
      <c r="AV644" s="186"/>
      <c r="AW644" s="186"/>
      <c r="AX644" s="186"/>
      <c r="AY644" s="186"/>
      <c r="AZ644" s="186"/>
      <c r="BA644" s="186"/>
      <c r="BB644" s="186"/>
      <c r="BC644" s="186"/>
      <c r="BD644" s="186"/>
      <c r="BE644" s="186"/>
      <c r="BF644" s="150"/>
      <c r="BG644" s="150"/>
    </row>
    <row r="645" spans="3:59" ht="14.6">
      <c r="C645" s="289"/>
      <c r="D645" s="150"/>
      <c r="E645" s="150"/>
      <c r="F645" s="150"/>
      <c r="G645" s="150"/>
      <c r="H645" s="150"/>
      <c r="I645" s="150"/>
      <c r="J645" s="150"/>
      <c r="K645" s="150"/>
      <c r="L645" s="150"/>
      <c r="M645" s="150"/>
      <c r="N645" s="150"/>
      <c r="O645" s="150"/>
      <c r="P645" s="150"/>
      <c r="Q645" s="150"/>
      <c r="R645" s="150"/>
      <c r="S645" s="150"/>
      <c r="T645" s="186"/>
      <c r="U645" s="186"/>
      <c r="V645" s="186"/>
      <c r="W645" s="186"/>
      <c r="X645" s="186"/>
      <c r="Y645" s="186"/>
      <c r="Z645" s="186"/>
      <c r="AA645" s="186"/>
      <c r="AB645" s="186"/>
      <c r="AC645" s="186"/>
      <c r="AD645" s="186"/>
      <c r="AF645" s="150"/>
      <c r="AG645" s="150"/>
      <c r="AH645" s="150"/>
      <c r="AI645" s="150"/>
      <c r="AJ645" s="150"/>
      <c r="AK645" s="150"/>
      <c r="AL645" s="150"/>
      <c r="AM645" s="150"/>
      <c r="AN645" s="150"/>
      <c r="AO645" s="150"/>
      <c r="AP645" s="150"/>
      <c r="AQ645" s="150"/>
      <c r="AT645" s="186"/>
      <c r="AU645" s="186"/>
      <c r="AV645" s="186"/>
      <c r="AW645" s="186"/>
      <c r="AX645" s="186"/>
      <c r="AY645" s="186"/>
      <c r="AZ645" s="186"/>
      <c r="BA645" s="186"/>
      <c r="BB645" s="186"/>
      <c r="BC645" s="186"/>
      <c r="BD645" s="186"/>
      <c r="BE645" s="186"/>
      <c r="BF645" s="150"/>
      <c r="BG645" s="150"/>
    </row>
    <row r="646" spans="3:59" ht="14.6">
      <c r="C646" s="289"/>
      <c r="D646" s="150"/>
      <c r="E646" s="150"/>
      <c r="F646" s="150"/>
      <c r="G646" s="150"/>
      <c r="H646" s="150"/>
      <c r="I646" s="150"/>
      <c r="J646" s="150"/>
      <c r="K646" s="150"/>
      <c r="L646" s="150"/>
      <c r="M646" s="150"/>
      <c r="N646" s="150"/>
      <c r="O646" s="150"/>
      <c r="P646" s="150"/>
      <c r="Q646" s="150"/>
      <c r="R646" s="150"/>
      <c r="S646" s="150"/>
      <c r="T646" s="186"/>
      <c r="U646" s="186"/>
      <c r="V646" s="186"/>
      <c r="W646" s="186"/>
      <c r="X646" s="186"/>
      <c r="Y646" s="186"/>
      <c r="Z646" s="186"/>
      <c r="AA646" s="186"/>
      <c r="AB646" s="186"/>
      <c r="AC646" s="186"/>
      <c r="AD646" s="186"/>
      <c r="AF646" s="150"/>
      <c r="AG646" s="150"/>
      <c r="AH646" s="150"/>
      <c r="AI646" s="150"/>
      <c r="AJ646" s="150"/>
      <c r="AK646" s="150"/>
      <c r="AL646" s="150"/>
      <c r="AM646" s="150"/>
      <c r="AN646" s="150"/>
      <c r="AO646" s="150"/>
      <c r="AP646" s="150"/>
      <c r="AQ646" s="150"/>
      <c r="AT646" s="186"/>
      <c r="AU646" s="186"/>
      <c r="AV646" s="186"/>
      <c r="AW646" s="186"/>
      <c r="AX646" s="186"/>
      <c r="AY646" s="186"/>
      <c r="AZ646" s="186"/>
      <c r="BA646" s="186"/>
      <c r="BB646" s="186"/>
      <c r="BC646" s="186"/>
      <c r="BD646" s="186"/>
      <c r="BE646" s="186"/>
      <c r="BF646" s="150"/>
      <c r="BG646" s="150"/>
    </row>
    <row r="647" spans="3:59" ht="14.6">
      <c r="C647" s="289"/>
      <c r="D647" s="150"/>
      <c r="E647" s="150"/>
      <c r="F647" s="150"/>
      <c r="G647" s="150"/>
      <c r="H647" s="150"/>
      <c r="I647" s="150"/>
      <c r="J647" s="150"/>
      <c r="K647" s="150"/>
      <c r="L647" s="150"/>
      <c r="M647" s="150"/>
      <c r="N647" s="150"/>
      <c r="O647" s="150"/>
      <c r="P647" s="150"/>
      <c r="Q647" s="150"/>
      <c r="R647" s="150"/>
      <c r="S647" s="150"/>
      <c r="T647" s="186"/>
      <c r="U647" s="186"/>
      <c r="V647" s="186"/>
      <c r="W647" s="186"/>
      <c r="X647" s="186"/>
      <c r="Y647" s="186"/>
      <c r="Z647" s="186"/>
      <c r="AA647" s="186"/>
      <c r="AB647" s="186"/>
      <c r="AC647" s="186"/>
      <c r="AD647" s="186"/>
      <c r="AF647" s="150"/>
      <c r="AG647" s="150"/>
      <c r="AH647" s="150"/>
      <c r="AI647" s="150"/>
      <c r="AJ647" s="150"/>
      <c r="AK647" s="150"/>
      <c r="AL647" s="150"/>
      <c r="AM647" s="150"/>
      <c r="AN647" s="150"/>
      <c r="AO647" s="150"/>
      <c r="AP647" s="150"/>
      <c r="AQ647" s="150"/>
      <c r="AT647" s="186"/>
      <c r="AU647" s="186"/>
      <c r="AV647" s="186"/>
      <c r="AW647" s="186"/>
      <c r="AX647" s="186"/>
      <c r="AY647" s="186"/>
      <c r="AZ647" s="186"/>
      <c r="BA647" s="186"/>
      <c r="BB647" s="186"/>
      <c r="BC647" s="186"/>
      <c r="BD647" s="186"/>
      <c r="BE647" s="186"/>
      <c r="BF647" s="150"/>
      <c r="BG647" s="150"/>
    </row>
    <row r="648" spans="3:59" ht="14.6">
      <c r="C648" s="289"/>
      <c r="D648" s="150"/>
      <c r="E648" s="150"/>
      <c r="F648" s="150"/>
      <c r="G648" s="150"/>
      <c r="H648" s="150"/>
      <c r="I648" s="150"/>
      <c r="J648" s="150"/>
      <c r="K648" s="150"/>
      <c r="L648" s="150"/>
      <c r="M648" s="150"/>
      <c r="N648" s="150"/>
      <c r="O648" s="150"/>
      <c r="P648" s="150"/>
      <c r="Q648" s="150"/>
      <c r="R648" s="150"/>
      <c r="S648" s="150"/>
      <c r="T648" s="186"/>
      <c r="U648" s="186"/>
      <c r="V648" s="186"/>
      <c r="W648" s="186"/>
      <c r="X648" s="186"/>
      <c r="Y648" s="186"/>
      <c r="Z648" s="186"/>
      <c r="AA648" s="186"/>
      <c r="AB648" s="186"/>
      <c r="AC648" s="186"/>
      <c r="AD648" s="186"/>
      <c r="AF648" s="150"/>
      <c r="AG648" s="150"/>
      <c r="AH648" s="150"/>
      <c r="AI648" s="150"/>
      <c r="AJ648" s="150"/>
      <c r="AK648" s="150"/>
      <c r="AL648" s="150"/>
      <c r="AM648" s="150"/>
      <c r="AN648" s="150"/>
      <c r="AO648" s="150"/>
      <c r="AP648" s="150"/>
      <c r="AQ648" s="150"/>
      <c r="AT648" s="186"/>
      <c r="AU648" s="186"/>
      <c r="AV648" s="186"/>
      <c r="AW648" s="186"/>
      <c r="AX648" s="186"/>
      <c r="AY648" s="186"/>
      <c r="AZ648" s="186"/>
      <c r="BA648" s="186"/>
      <c r="BB648" s="186"/>
      <c r="BC648" s="186"/>
      <c r="BD648" s="186"/>
      <c r="BE648" s="186"/>
      <c r="BF648" s="150"/>
      <c r="BG648" s="150"/>
    </row>
    <row r="649" spans="3:59" ht="14.6">
      <c r="C649" s="289"/>
      <c r="D649" s="150"/>
      <c r="E649" s="150"/>
      <c r="F649" s="150"/>
      <c r="G649" s="150"/>
      <c r="H649" s="150"/>
      <c r="I649" s="150"/>
      <c r="J649" s="150"/>
      <c r="K649" s="150"/>
      <c r="L649" s="150"/>
      <c r="M649" s="150"/>
      <c r="N649" s="150"/>
      <c r="O649" s="150"/>
      <c r="P649" s="150"/>
      <c r="Q649" s="150"/>
      <c r="R649" s="150"/>
      <c r="S649" s="150"/>
      <c r="T649" s="186"/>
      <c r="U649" s="186"/>
      <c r="V649" s="186"/>
      <c r="W649" s="186"/>
      <c r="X649" s="186"/>
      <c r="Y649" s="186"/>
      <c r="Z649" s="186"/>
      <c r="AA649" s="186"/>
      <c r="AB649" s="186"/>
      <c r="AC649" s="186"/>
      <c r="AD649" s="186"/>
      <c r="AF649" s="150"/>
      <c r="AG649" s="150"/>
      <c r="AH649" s="150"/>
      <c r="AI649" s="150"/>
      <c r="AJ649" s="150"/>
      <c r="AK649" s="150"/>
      <c r="AL649" s="150"/>
      <c r="AM649" s="150"/>
      <c r="AN649" s="150"/>
      <c r="AO649" s="150"/>
      <c r="AP649" s="150"/>
      <c r="AQ649" s="150"/>
      <c r="AT649" s="186"/>
      <c r="AU649" s="186"/>
      <c r="AV649" s="186"/>
      <c r="AW649" s="186"/>
      <c r="AX649" s="186"/>
      <c r="AY649" s="186"/>
      <c r="AZ649" s="186"/>
      <c r="BA649" s="186"/>
      <c r="BB649" s="186"/>
      <c r="BC649" s="186"/>
      <c r="BD649" s="186"/>
      <c r="BE649" s="186"/>
      <c r="BF649" s="150"/>
      <c r="BG649" s="150"/>
    </row>
    <row r="650" spans="3:59" ht="14.6">
      <c r="C650" s="289"/>
      <c r="D650" s="150"/>
      <c r="E650" s="150"/>
      <c r="F650" s="150"/>
      <c r="G650" s="150"/>
      <c r="H650" s="150"/>
      <c r="I650" s="150"/>
      <c r="J650" s="150"/>
      <c r="K650" s="150"/>
      <c r="L650" s="150"/>
      <c r="M650" s="150"/>
      <c r="N650" s="150"/>
      <c r="O650" s="150"/>
      <c r="P650" s="150"/>
      <c r="Q650" s="150"/>
      <c r="R650" s="150"/>
      <c r="S650" s="150"/>
      <c r="T650" s="186"/>
      <c r="U650" s="186"/>
      <c r="V650" s="186"/>
      <c r="W650" s="186"/>
      <c r="X650" s="186"/>
      <c r="Y650" s="186"/>
      <c r="Z650" s="186"/>
      <c r="AA650" s="186"/>
      <c r="AB650" s="186"/>
      <c r="AC650" s="186"/>
      <c r="AD650" s="186"/>
      <c r="AF650" s="150"/>
      <c r="AG650" s="150"/>
      <c r="AH650" s="150"/>
      <c r="AI650" s="150"/>
      <c r="AJ650" s="150"/>
      <c r="AK650" s="150"/>
      <c r="AL650" s="150"/>
      <c r="AM650" s="150"/>
      <c r="AN650" s="150"/>
      <c r="AO650" s="150"/>
      <c r="AP650" s="150"/>
      <c r="AQ650" s="150"/>
      <c r="AT650" s="186"/>
      <c r="AU650" s="186"/>
      <c r="AV650" s="186"/>
      <c r="AW650" s="186"/>
      <c r="AX650" s="186"/>
      <c r="AY650" s="186"/>
      <c r="AZ650" s="186"/>
      <c r="BA650" s="186"/>
      <c r="BB650" s="186"/>
      <c r="BC650" s="186"/>
      <c r="BD650" s="186"/>
      <c r="BE650" s="186"/>
      <c r="BF650" s="150"/>
      <c r="BG650" s="150"/>
    </row>
    <row r="651" spans="3:59" ht="14.6">
      <c r="C651" s="289"/>
      <c r="D651" s="150"/>
      <c r="E651" s="150"/>
      <c r="F651" s="150"/>
      <c r="G651" s="150"/>
      <c r="H651" s="150"/>
      <c r="I651" s="150"/>
      <c r="J651" s="150"/>
      <c r="K651" s="150"/>
      <c r="L651" s="150"/>
      <c r="M651" s="150"/>
      <c r="N651" s="150"/>
      <c r="O651" s="150"/>
      <c r="P651" s="150"/>
      <c r="Q651" s="150"/>
      <c r="R651" s="150"/>
      <c r="S651" s="150"/>
      <c r="T651" s="186"/>
      <c r="U651" s="186"/>
      <c r="V651" s="186"/>
      <c r="W651" s="186"/>
      <c r="X651" s="186"/>
      <c r="Y651" s="186"/>
      <c r="Z651" s="186"/>
      <c r="AA651" s="186"/>
      <c r="AB651" s="186"/>
      <c r="AC651" s="186"/>
      <c r="AD651" s="186"/>
      <c r="AF651" s="150"/>
      <c r="AG651" s="150"/>
      <c r="AH651" s="150"/>
      <c r="AI651" s="150"/>
      <c r="AJ651" s="150"/>
      <c r="AK651" s="150"/>
      <c r="AL651" s="150"/>
      <c r="AM651" s="150"/>
      <c r="AN651" s="150"/>
      <c r="AO651" s="150"/>
      <c r="AP651" s="150"/>
      <c r="AQ651" s="150"/>
      <c r="AT651" s="186"/>
      <c r="AU651" s="186"/>
      <c r="AV651" s="186"/>
      <c r="AW651" s="186"/>
      <c r="AX651" s="186"/>
      <c r="AY651" s="186"/>
      <c r="AZ651" s="186"/>
      <c r="BA651" s="186"/>
      <c r="BB651" s="186"/>
      <c r="BC651" s="186"/>
      <c r="BD651" s="186"/>
      <c r="BE651" s="186"/>
      <c r="BF651" s="150"/>
      <c r="BG651" s="150"/>
    </row>
    <row r="652" spans="3:59" ht="14.6">
      <c r="C652" s="289"/>
      <c r="D652" s="150"/>
      <c r="E652" s="150"/>
      <c r="F652" s="150"/>
      <c r="G652" s="150"/>
      <c r="H652" s="150"/>
      <c r="I652" s="150"/>
      <c r="J652" s="150"/>
      <c r="K652" s="150"/>
      <c r="L652" s="150"/>
      <c r="M652" s="150"/>
      <c r="N652" s="150"/>
      <c r="O652" s="150"/>
      <c r="P652" s="150"/>
      <c r="Q652" s="150"/>
      <c r="R652" s="150"/>
      <c r="S652" s="150"/>
      <c r="T652" s="186"/>
      <c r="U652" s="186"/>
      <c r="V652" s="186"/>
      <c r="W652" s="186"/>
      <c r="X652" s="186"/>
      <c r="Y652" s="186"/>
      <c r="Z652" s="186"/>
      <c r="AA652" s="186"/>
      <c r="AB652" s="186"/>
      <c r="AC652" s="186"/>
      <c r="AD652" s="186"/>
      <c r="AF652" s="150"/>
      <c r="AG652" s="150"/>
      <c r="AH652" s="150"/>
      <c r="AI652" s="150"/>
      <c r="AJ652" s="150"/>
      <c r="AK652" s="150"/>
      <c r="AL652" s="150"/>
      <c r="AM652" s="150"/>
      <c r="AN652" s="150"/>
      <c r="AO652" s="150"/>
      <c r="AP652" s="150"/>
      <c r="AQ652" s="150"/>
      <c r="AT652" s="186"/>
      <c r="AU652" s="186"/>
      <c r="AV652" s="186"/>
      <c r="AW652" s="186"/>
      <c r="AX652" s="186"/>
      <c r="AY652" s="186"/>
      <c r="AZ652" s="186"/>
      <c r="BA652" s="186"/>
      <c r="BB652" s="186"/>
      <c r="BC652" s="186"/>
      <c r="BD652" s="186"/>
      <c r="BE652" s="186"/>
      <c r="BF652" s="150"/>
      <c r="BG652" s="150"/>
    </row>
    <row r="653" spans="3:59" ht="14.6">
      <c r="C653" s="289"/>
      <c r="D653" s="150"/>
      <c r="E653" s="150"/>
      <c r="F653" s="150"/>
      <c r="G653" s="150"/>
      <c r="H653" s="150"/>
      <c r="I653" s="150"/>
      <c r="J653" s="150"/>
      <c r="K653" s="150"/>
      <c r="L653" s="150"/>
      <c r="M653" s="150"/>
      <c r="N653" s="150"/>
      <c r="O653" s="150"/>
      <c r="P653" s="150"/>
      <c r="Q653" s="150"/>
      <c r="R653" s="150"/>
      <c r="S653" s="150"/>
      <c r="T653" s="186"/>
      <c r="U653" s="186"/>
      <c r="V653" s="186"/>
      <c r="W653" s="186"/>
      <c r="X653" s="186"/>
      <c r="Y653" s="186"/>
      <c r="Z653" s="186"/>
      <c r="AA653" s="186"/>
      <c r="AB653" s="186"/>
      <c r="AC653" s="186"/>
      <c r="AD653" s="186"/>
      <c r="AF653" s="150"/>
      <c r="AG653" s="150"/>
      <c r="AH653" s="150"/>
      <c r="AI653" s="150"/>
      <c r="AJ653" s="150"/>
      <c r="AK653" s="150"/>
      <c r="AL653" s="150"/>
      <c r="AM653" s="150"/>
      <c r="AN653" s="150"/>
      <c r="AO653" s="150"/>
      <c r="AP653" s="150"/>
      <c r="AQ653" s="150"/>
      <c r="AT653" s="186"/>
      <c r="AU653" s="186"/>
      <c r="AV653" s="186"/>
      <c r="AW653" s="186"/>
      <c r="AX653" s="186"/>
      <c r="AY653" s="186"/>
      <c r="AZ653" s="186"/>
      <c r="BA653" s="186"/>
      <c r="BB653" s="186"/>
      <c r="BC653" s="186"/>
      <c r="BD653" s="186"/>
      <c r="BE653" s="186"/>
      <c r="BF653" s="150"/>
      <c r="BG653" s="150"/>
    </row>
    <row r="654" spans="3:59" ht="14.6">
      <c r="C654" s="289"/>
      <c r="D654" s="150"/>
      <c r="E654" s="150"/>
      <c r="F654" s="150"/>
      <c r="G654" s="150"/>
      <c r="H654" s="150"/>
      <c r="I654" s="150"/>
      <c r="J654" s="150"/>
      <c r="K654" s="150"/>
      <c r="L654" s="150"/>
      <c r="M654" s="150"/>
      <c r="N654" s="150"/>
      <c r="O654" s="150"/>
      <c r="P654" s="150"/>
      <c r="Q654" s="150"/>
      <c r="R654" s="150"/>
      <c r="S654" s="150"/>
      <c r="T654" s="186"/>
      <c r="U654" s="186"/>
      <c r="V654" s="186"/>
      <c r="W654" s="186"/>
      <c r="X654" s="186"/>
      <c r="Y654" s="186"/>
      <c r="Z654" s="186"/>
      <c r="AA654" s="186"/>
      <c r="AB654" s="186"/>
      <c r="AC654" s="186"/>
      <c r="AD654" s="186"/>
      <c r="AF654" s="150"/>
      <c r="AG654" s="150"/>
      <c r="AH654" s="150"/>
      <c r="AI654" s="150"/>
      <c r="AJ654" s="150"/>
      <c r="AK654" s="150"/>
      <c r="AL654" s="150"/>
      <c r="AM654" s="150"/>
      <c r="AN654" s="150"/>
      <c r="AO654" s="150"/>
      <c r="AP654" s="150"/>
      <c r="AQ654" s="150"/>
      <c r="AT654" s="186"/>
      <c r="AU654" s="186"/>
      <c r="AV654" s="186"/>
      <c r="AW654" s="186"/>
      <c r="AX654" s="186"/>
      <c r="AY654" s="186"/>
      <c r="AZ654" s="186"/>
      <c r="BA654" s="186"/>
      <c r="BB654" s="186"/>
      <c r="BC654" s="186"/>
      <c r="BD654" s="186"/>
      <c r="BE654" s="186"/>
      <c r="BF654" s="150"/>
      <c r="BG654" s="150"/>
    </row>
    <row r="655" spans="3:59" ht="14.6">
      <c r="C655" s="289"/>
      <c r="D655" s="150"/>
      <c r="E655" s="150"/>
      <c r="F655" s="150"/>
      <c r="G655" s="150"/>
      <c r="H655" s="150"/>
      <c r="I655" s="150"/>
      <c r="J655" s="150"/>
      <c r="K655" s="150"/>
      <c r="L655" s="150"/>
      <c r="M655" s="150"/>
      <c r="N655" s="150"/>
      <c r="O655" s="150"/>
      <c r="P655" s="150"/>
      <c r="Q655" s="150"/>
      <c r="R655" s="150"/>
      <c r="S655" s="150"/>
      <c r="T655" s="186"/>
      <c r="U655" s="186"/>
      <c r="V655" s="186"/>
      <c r="W655" s="186"/>
      <c r="X655" s="186"/>
      <c r="Y655" s="186"/>
      <c r="Z655" s="186"/>
      <c r="AA655" s="186"/>
      <c r="AB655" s="186"/>
      <c r="AC655" s="186"/>
      <c r="AD655" s="186"/>
      <c r="AF655" s="150"/>
      <c r="AG655" s="150"/>
      <c r="AH655" s="150"/>
      <c r="AI655" s="150"/>
      <c r="AJ655" s="150"/>
      <c r="AK655" s="150"/>
      <c r="AL655" s="150"/>
      <c r="AM655" s="150"/>
      <c r="AN655" s="150"/>
      <c r="AO655" s="150"/>
      <c r="AP655" s="150"/>
      <c r="AQ655" s="150"/>
      <c r="AT655" s="186"/>
      <c r="AU655" s="186"/>
      <c r="AV655" s="186"/>
      <c r="AW655" s="186"/>
      <c r="AX655" s="186"/>
      <c r="AY655" s="186"/>
      <c r="AZ655" s="186"/>
      <c r="BA655" s="186"/>
      <c r="BB655" s="186"/>
      <c r="BC655" s="186"/>
      <c r="BD655" s="186"/>
      <c r="BE655" s="186"/>
      <c r="BF655" s="150"/>
      <c r="BG655" s="150"/>
    </row>
    <row r="656" spans="3:59" ht="14.6">
      <c r="C656" s="289"/>
      <c r="D656" s="150"/>
      <c r="E656" s="150"/>
      <c r="F656" s="150"/>
      <c r="G656" s="150"/>
      <c r="H656" s="150"/>
      <c r="I656" s="150"/>
      <c r="J656" s="150"/>
      <c r="K656" s="150"/>
      <c r="L656" s="150"/>
      <c r="M656" s="150"/>
      <c r="N656" s="150"/>
      <c r="O656" s="150"/>
      <c r="P656" s="150"/>
      <c r="Q656" s="150"/>
      <c r="R656" s="150"/>
      <c r="S656" s="150"/>
      <c r="T656" s="186"/>
      <c r="U656" s="186"/>
      <c r="V656" s="186"/>
      <c r="W656" s="186"/>
      <c r="X656" s="186"/>
      <c r="Y656" s="186"/>
      <c r="Z656" s="186"/>
      <c r="AA656" s="186"/>
      <c r="AB656" s="186"/>
      <c r="AC656" s="186"/>
      <c r="AD656" s="186"/>
      <c r="AF656" s="150"/>
      <c r="AG656" s="150"/>
      <c r="AH656" s="150"/>
      <c r="AI656" s="150"/>
      <c r="AJ656" s="150"/>
      <c r="AK656" s="150"/>
      <c r="AL656" s="150"/>
      <c r="AM656" s="150"/>
      <c r="AN656" s="150"/>
      <c r="AO656" s="150"/>
      <c r="AP656" s="150"/>
      <c r="AQ656" s="150"/>
      <c r="AT656" s="186"/>
      <c r="AU656" s="186"/>
      <c r="AV656" s="186"/>
      <c r="AW656" s="186"/>
      <c r="AX656" s="186"/>
      <c r="AY656" s="186"/>
      <c r="AZ656" s="186"/>
      <c r="BA656" s="186"/>
      <c r="BB656" s="186"/>
      <c r="BC656" s="186"/>
      <c r="BD656" s="186"/>
      <c r="BE656" s="186"/>
      <c r="BF656" s="150"/>
      <c r="BG656" s="150"/>
    </row>
    <row r="657" spans="3:59" ht="14.6">
      <c r="C657" s="289"/>
      <c r="D657" s="150"/>
      <c r="E657" s="150"/>
      <c r="F657" s="150"/>
      <c r="G657" s="150"/>
      <c r="H657" s="150"/>
      <c r="I657" s="150"/>
      <c r="J657" s="150"/>
      <c r="K657" s="150"/>
      <c r="L657" s="150"/>
      <c r="M657" s="150"/>
      <c r="N657" s="150"/>
      <c r="O657" s="150"/>
      <c r="P657" s="150"/>
      <c r="Q657" s="150"/>
      <c r="R657" s="150"/>
      <c r="S657" s="150"/>
      <c r="T657" s="186"/>
      <c r="U657" s="186"/>
      <c r="V657" s="186"/>
      <c r="W657" s="186"/>
      <c r="X657" s="186"/>
      <c r="Y657" s="186"/>
      <c r="Z657" s="186"/>
      <c r="AA657" s="186"/>
      <c r="AB657" s="186"/>
      <c r="AC657" s="186"/>
      <c r="AD657" s="186"/>
      <c r="AF657" s="150"/>
      <c r="AG657" s="150"/>
      <c r="AH657" s="150"/>
      <c r="AI657" s="150"/>
      <c r="AJ657" s="150"/>
      <c r="AK657" s="150"/>
      <c r="AL657" s="150"/>
      <c r="AM657" s="150"/>
      <c r="AN657" s="150"/>
      <c r="AO657" s="150"/>
      <c r="AP657" s="150"/>
      <c r="AQ657" s="150"/>
      <c r="AT657" s="186"/>
      <c r="AU657" s="186"/>
      <c r="AV657" s="186"/>
      <c r="AW657" s="186"/>
      <c r="AX657" s="186"/>
      <c r="AY657" s="186"/>
      <c r="AZ657" s="186"/>
      <c r="BA657" s="186"/>
      <c r="BB657" s="186"/>
      <c r="BC657" s="186"/>
      <c r="BD657" s="186"/>
      <c r="BE657" s="186"/>
      <c r="BF657" s="150"/>
      <c r="BG657" s="150"/>
    </row>
    <row r="658" spans="3:59" ht="14.6">
      <c r="C658" s="289"/>
      <c r="D658" s="150"/>
      <c r="E658" s="150"/>
      <c r="F658" s="150"/>
      <c r="G658" s="150"/>
      <c r="H658" s="150"/>
      <c r="I658" s="150"/>
      <c r="J658" s="150"/>
      <c r="K658" s="150"/>
      <c r="L658" s="150"/>
      <c r="M658" s="150"/>
      <c r="N658" s="150"/>
      <c r="O658" s="150"/>
      <c r="P658" s="150"/>
      <c r="Q658" s="150"/>
      <c r="R658" s="150"/>
      <c r="S658" s="150"/>
      <c r="T658" s="186"/>
      <c r="U658" s="186"/>
      <c r="V658" s="186"/>
      <c r="W658" s="186"/>
      <c r="X658" s="186"/>
      <c r="Y658" s="186"/>
      <c r="Z658" s="186"/>
      <c r="AA658" s="186"/>
      <c r="AB658" s="186"/>
      <c r="AC658" s="186"/>
      <c r="AD658" s="186"/>
      <c r="AF658" s="150"/>
      <c r="AG658" s="150"/>
      <c r="AH658" s="150"/>
      <c r="AI658" s="150"/>
      <c r="AJ658" s="150"/>
      <c r="AK658" s="150"/>
      <c r="AL658" s="150"/>
      <c r="AM658" s="150"/>
      <c r="AN658" s="150"/>
      <c r="AO658" s="150"/>
      <c r="AP658" s="150"/>
      <c r="AQ658" s="150"/>
      <c r="AT658" s="186"/>
      <c r="AU658" s="186"/>
      <c r="AV658" s="186"/>
      <c r="AW658" s="186"/>
      <c r="AX658" s="186"/>
      <c r="AY658" s="186"/>
      <c r="AZ658" s="186"/>
      <c r="BA658" s="186"/>
      <c r="BB658" s="186"/>
      <c r="BC658" s="186"/>
      <c r="BD658" s="186"/>
      <c r="BE658" s="186"/>
      <c r="BF658" s="150"/>
      <c r="BG658" s="150"/>
    </row>
    <row r="659" spans="3:59" ht="14.6">
      <c r="C659" s="289"/>
      <c r="D659" s="150"/>
      <c r="E659" s="150"/>
      <c r="F659" s="150"/>
      <c r="G659" s="150"/>
      <c r="H659" s="150"/>
      <c r="I659" s="150"/>
      <c r="J659" s="150"/>
      <c r="K659" s="150"/>
      <c r="L659" s="150"/>
      <c r="M659" s="150"/>
      <c r="N659" s="150"/>
      <c r="O659" s="150"/>
      <c r="P659" s="150"/>
      <c r="Q659" s="150"/>
      <c r="R659" s="150"/>
      <c r="S659" s="150"/>
      <c r="T659" s="186"/>
      <c r="U659" s="186"/>
      <c r="V659" s="186"/>
      <c r="W659" s="186"/>
      <c r="X659" s="186"/>
      <c r="Y659" s="186"/>
      <c r="Z659" s="186"/>
      <c r="AA659" s="186"/>
      <c r="AB659" s="186"/>
      <c r="AC659" s="186"/>
      <c r="AD659" s="186"/>
      <c r="AF659" s="150"/>
      <c r="AG659" s="150"/>
      <c r="AH659" s="150"/>
      <c r="AI659" s="150"/>
      <c r="AJ659" s="150"/>
      <c r="AK659" s="150"/>
      <c r="AL659" s="150"/>
      <c r="AM659" s="150"/>
      <c r="AN659" s="150"/>
      <c r="AO659" s="150"/>
      <c r="AP659" s="150"/>
      <c r="AQ659" s="150"/>
      <c r="AT659" s="186"/>
      <c r="AU659" s="186"/>
      <c r="AV659" s="186"/>
      <c r="AW659" s="186"/>
      <c r="AX659" s="186"/>
      <c r="AY659" s="186"/>
      <c r="AZ659" s="186"/>
      <c r="BA659" s="186"/>
      <c r="BB659" s="186"/>
      <c r="BC659" s="186"/>
      <c r="BD659" s="186"/>
      <c r="BE659" s="186"/>
      <c r="BF659" s="150"/>
      <c r="BG659" s="150"/>
    </row>
    <row r="660" spans="3:59" ht="14.6">
      <c r="C660" s="289"/>
      <c r="D660" s="150"/>
      <c r="E660" s="150"/>
      <c r="F660" s="150"/>
      <c r="G660" s="150"/>
      <c r="H660" s="150"/>
      <c r="I660" s="150"/>
      <c r="J660" s="150"/>
      <c r="K660" s="150"/>
      <c r="L660" s="150"/>
      <c r="M660" s="150"/>
      <c r="N660" s="150"/>
      <c r="O660" s="150"/>
      <c r="P660" s="150"/>
      <c r="Q660" s="150"/>
      <c r="R660" s="150"/>
      <c r="S660" s="150"/>
      <c r="T660" s="186"/>
      <c r="U660" s="186"/>
      <c r="V660" s="186"/>
      <c r="W660" s="186"/>
      <c r="X660" s="186"/>
      <c r="Y660" s="186"/>
      <c r="Z660" s="186"/>
      <c r="AA660" s="186"/>
      <c r="AB660" s="186"/>
      <c r="AC660" s="186"/>
      <c r="AD660" s="186"/>
      <c r="AF660" s="150"/>
      <c r="AG660" s="150"/>
      <c r="AH660" s="150"/>
      <c r="AI660" s="150"/>
      <c r="AJ660" s="150"/>
      <c r="AK660" s="150"/>
      <c r="AL660" s="150"/>
      <c r="AM660" s="150"/>
      <c r="AN660" s="150"/>
      <c r="AO660" s="150"/>
      <c r="AP660" s="150"/>
      <c r="AQ660" s="150"/>
      <c r="AT660" s="186"/>
      <c r="AU660" s="186"/>
      <c r="AV660" s="186"/>
      <c r="AW660" s="186"/>
      <c r="AX660" s="186"/>
      <c r="AY660" s="186"/>
      <c r="AZ660" s="186"/>
      <c r="BA660" s="186"/>
      <c r="BB660" s="186"/>
      <c r="BC660" s="186"/>
      <c r="BD660" s="186"/>
      <c r="BE660" s="186"/>
      <c r="BF660" s="150"/>
      <c r="BG660" s="150"/>
    </row>
    <row r="661" spans="3:59" ht="14.6">
      <c r="C661" s="289"/>
      <c r="D661" s="150"/>
      <c r="E661" s="150"/>
      <c r="F661" s="150"/>
      <c r="G661" s="150"/>
      <c r="H661" s="150"/>
      <c r="I661" s="150"/>
      <c r="J661" s="150"/>
      <c r="K661" s="150"/>
      <c r="L661" s="150"/>
      <c r="M661" s="150"/>
      <c r="N661" s="150"/>
      <c r="O661" s="150"/>
      <c r="P661" s="150"/>
      <c r="Q661" s="150"/>
      <c r="R661" s="150"/>
      <c r="S661" s="150"/>
      <c r="T661" s="186"/>
      <c r="U661" s="186"/>
      <c r="V661" s="186"/>
      <c r="W661" s="186"/>
      <c r="X661" s="186"/>
      <c r="Y661" s="186"/>
      <c r="Z661" s="186"/>
      <c r="AA661" s="186"/>
      <c r="AB661" s="186"/>
      <c r="AC661" s="186"/>
      <c r="AD661" s="186"/>
      <c r="AF661" s="150"/>
      <c r="AG661" s="150"/>
      <c r="AH661" s="150"/>
      <c r="AI661" s="150"/>
      <c r="AJ661" s="150"/>
      <c r="AK661" s="150"/>
      <c r="AL661" s="150"/>
      <c r="AM661" s="150"/>
      <c r="AN661" s="150"/>
      <c r="AO661" s="150"/>
      <c r="AP661" s="150"/>
      <c r="AQ661" s="150"/>
      <c r="AT661" s="186"/>
      <c r="AU661" s="186"/>
      <c r="AV661" s="186"/>
      <c r="AW661" s="186"/>
      <c r="AX661" s="186"/>
      <c r="AY661" s="186"/>
      <c r="AZ661" s="186"/>
      <c r="BA661" s="186"/>
      <c r="BB661" s="186"/>
      <c r="BC661" s="186"/>
      <c r="BD661" s="186"/>
      <c r="BE661" s="186"/>
      <c r="BF661" s="150"/>
      <c r="BG661" s="150"/>
    </row>
    <row r="662" spans="3:59" ht="14.6">
      <c r="C662" s="289"/>
      <c r="D662" s="150"/>
      <c r="E662" s="150"/>
      <c r="F662" s="150"/>
      <c r="G662" s="150"/>
      <c r="H662" s="150"/>
      <c r="I662" s="150"/>
      <c r="J662" s="150"/>
      <c r="K662" s="150"/>
      <c r="L662" s="150"/>
      <c r="M662" s="150"/>
      <c r="N662" s="150"/>
      <c r="O662" s="150"/>
      <c r="P662" s="150"/>
      <c r="Q662" s="150"/>
      <c r="R662" s="150"/>
      <c r="S662" s="150"/>
      <c r="T662" s="186"/>
      <c r="U662" s="186"/>
      <c r="V662" s="186"/>
      <c r="W662" s="186"/>
      <c r="X662" s="186"/>
      <c r="Y662" s="186"/>
      <c r="Z662" s="186"/>
      <c r="AA662" s="186"/>
      <c r="AB662" s="186"/>
      <c r="AC662" s="186"/>
      <c r="AD662" s="186"/>
      <c r="AF662" s="150"/>
      <c r="AG662" s="150"/>
      <c r="AH662" s="150"/>
      <c r="AI662" s="150"/>
      <c r="AJ662" s="150"/>
      <c r="AK662" s="150"/>
      <c r="AL662" s="150"/>
      <c r="AM662" s="150"/>
      <c r="AN662" s="150"/>
      <c r="AO662" s="150"/>
      <c r="AP662" s="150"/>
      <c r="AQ662" s="150"/>
      <c r="AT662" s="186"/>
      <c r="AU662" s="186"/>
      <c r="AV662" s="186"/>
      <c r="AW662" s="186"/>
      <c r="AX662" s="186"/>
      <c r="AY662" s="186"/>
      <c r="AZ662" s="186"/>
      <c r="BA662" s="186"/>
      <c r="BB662" s="186"/>
      <c r="BC662" s="186"/>
      <c r="BD662" s="186"/>
      <c r="BE662" s="186"/>
      <c r="BF662" s="150"/>
      <c r="BG662" s="150"/>
    </row>
    <row r="663" spans="3:59" ht="14.6">
      <c r="C663" s="289"/>
      <c r="D663" s="150"/>
      <c r="E663" s="150"/>
      <c r="F663" s="150"/>
      <c r="G663" s="150"/>
      <c r="H663" s="150"/>
      <c r="I663" s="150"/>
      <c r="J663" s="150"/>
      <c r="K663" s="150"/>
      <c r="L663" s="150"/>
      <c r="M663" s="150"/>
      <c r="N663" s="150"/>
      <c r="O663" s="150"/>
      <c r="P663" s="150"/>
      <c r="Q663" s="150"/>
      <c r="R663" s="150"/>
      <c r="S663" s="150"/>
      <c r="T663" s="186"/>
      <c r="U663" s="186"/>
      <c r="V663" s="186"/>
      <c r="W663" s="186"/>
      <c r="X663" s="186"/>
      <c r="Y663" s="186"/>
      <c r="Z663" s="186"/>
      <c r="AA663" s="186"/>
      <c r="AB663" s="186"/>
      <c r="AC663" s="186"/>
      <c r="AD663" s="186"/>
      <c r="AF663" s="150"/>
      <c r="AG663" s="150"/>
      <c r="AH663" s="150"/>
      <c r="AI663" s="150"/>
      <c r="AJ663" s="150"/>
      <c r="AK663" s="150"/>
      <c r="AL663" s="150"/>
      <c r="AM663" s="150"/>
      <c r="AN663" s="150"/>
      <c r="AO663" s="150"/>
      <c r="AP663" s="150"/>
      <c r="AQ663" s="150"/>
      <c r="AT663" s="186"/>
      <c r="AU663" s="186"/>
      <c r="AV663" s="186"/>
      <c r="AW663" s="186"/>
      <c r="AX663" s="186"/>
      <c r="AY663" s="186"/>
      <c r="AZ663" s="186"/>
      <c r="BA663" s="186"/>
      <c r="BB663" s="186"/>
      <c r="BC663" s="186"/>
      <c r="BD663" s="186"/>
      <c r="BE663" s="186"/>
      <c r="BF663" s="150"/>
      <c r="BG663" s="150"/>
    </row>
    <row r="664" spans="3:59" ht="14.6">
      <c r="C664" s="289"/>
      <c r="D664" s="150"/>
      <c r="E664" s="150"/>
      <c r="F664" s="150"/>
      <c r="G664" s="150"/>
      <c r="H664" s="150"/>
      <c r="I664" s="150"/>
      <c r="J664" s="150"/>
      <c r="K664" s="150"/>
      <c r="L664" s="150"/>
      <c r="M664" s="150"/>
      <c r="N664" s="150"/>
      <c r="O664" s="150"/>
      <c r="P664" s="150"/>
      <c r="Q664" s="150"/>
      <c r="R664" s="150"/>
      <c r="S664" s="150"/>
      <c r="T664" s="186"/>
      <c r="U664" s="186"/>
      <c r="V664" s="186"/>
      <c r="W664" s="186"/>
      <c r="X664" s="186"/>
      <c r="Y664" s="186"/>
      <c r="Z664" s="186"/>
      <c r="AA664" s="186"/>
      <c r="AB664" s="186"/>
      <c r="AC664" s="186"/>
      <c r="AD664" s="186"/>
      <c r="AF664" s="150"/>
      <c r="AG664" s="150"/>
      <c r="AH664" s="150"/>
      <c r="AI664" s="150"/>
      <c r="AJ664" s="150"/>
      <c r="AK664" s="150"/>
      <c r="AL664" s="150"/>
      <c r="AM664" s="150"/>
      <c r="AN664" s="150"/>
      <c r="AO664" s="150"/>
      <c r="AP664" s="150"/>
      <c r="AQ664" s="150"/>
      <c r="AT664" s="186"/>
      <c r="AU664" s="186"/>
      <c r="AV664" s="186"/>
      <c r="AW664" s="186"/>
      <c r="AX664" s="186"/>
      <c r="AY664" s="186"/>
      <c r="AZ664" s="186"/>
      <c r="BA664" s="186"/>
      <c r="BB664" s="186"/>
      <c r="BC664" s="186"/>
      <c r="BD664" s="186"/>
      <c r="BE664" s="186"/>
      <c r="BF664" s="150"/>
      <c r="BG664" s="150"/>
    </row>
    <row r="665" spans="3:59" ht="14.6">
      <c r="C665" s="289"/>
      <c r="D665" s="150"/>
      <c r="E665" s="150"/>
      <c r="F665" s="150"/>
      <c r="G665" s="150"/>
      <c r="H665" s="150"/>
      <c r="I665" s="150"/>
      <c r="J665" s="150"/>
      <c r="K665" s="150"/>
      <c r="L665" s="150"/>
      <c r="M665" s="150"/>
      <c r="N665" s="150"/>
      <c r="O665" s="150"/>
      <c r="P665" s="150"/>
      <c r="Q665" s="150"/>
      <c r="R665" s="150"/>
      <c r="S665" s="150"/>
      <c r="T665" s="186"/>
      <c r="U665" s="186"/>
      <c r="V665" s="186"/>
      <c r="W665" s="186"/>
      <c r="X665" s="186"/>
      <c r="Y665" s="186"/>
      <c r="Z665" s="186"/>
      <c r="AA665" s="186"/>
      <c r="AB665" s="186"/>
      <c r="AC665" s="186"/>
      <c r="AD665" s="186"/>
      <c r="AF665" s="150"/>
      <c r="AG665" s="150"/>
      <c r="AH665" s="150"/>
      <c r="AI665" s="150"/>
      <c r="AJ665" s="150"/>
      <c r="AK665" s="150"/>
      <c r="AL665" s="150"/>
      <c r="AM665" s="150"/>
      <c r="AN665" s="150"/>
      <c r="AO665" s="150"/>
      <c r="AP665" s="150"/>
      <c r="AQ665" s="150"/>
      <c r="AT665" s="186"/>
      <c r="AU665" s="186"/>
      <c r="AV665" s="186"/>
      <c r="AW665" s="186"/>
      <c r="AX665" s="186"/>
      <c r="AY665" s="186"/>
      <c r="AZ665" s="186"/>
      <c r="BA665" s="186"/>
      <c r="BB665" s="186"/>
      <c r="BC665" s="186"/>
      <c r="BD665" s="186"/>
      <c r="BE665" s="186"/>
      <c r="BF665" s="150"/>
      <c r="BG665" s="150"/>
    </row>
    <row r="666" spans="3:59" ht="14.6">
      <c r="C666" s="289"/>
      <c r="D666" s="150"/>
      <c r="E666" s="150"/>
      <c r="F666" s="150"/>
      <c r="G666" s="150"/>
      <c r="H666" s="150"/>
      <c r="I666" s="150"/>
      <c r="J666" s="150"/>
      <c r="K666" s="150"/>
      <c r="L666" s="150"/>
      <c r="M666" s="150"/>
      <c r="N666" s="150"/>
      <c r="O666" s="150"/>
      <c r="P666" s="150"/>
      <c r="Q666" s="150"/>
      <c r="R666" s="150"/>
      <c r="S666" s="150"/>
      <c r="T666" s="186"/>
      <c r="U666" s="186"/>
      <c r="V666" s="186"/>
      <c r="W666" s="186"/>
      <c r="X666" s="186"/>
      <c r="Y666" s="186"/>
      <c r="Z666" s="186"/>
      <c r="AA666" s="186"/>
      <c r="AB666" s="186"/>
      <c r="AC666" s="186"/>
      <c r="AD666" s="186"/>
      <c r="AF666" s="150"/>
      <c r="AG666" s="150"/>
      <c r="AH666" s="150"/>
      <c r="AI666" s="150"/>
      <c r="AJ666" s="150"/>
      <c r="AK666" s="150"/>
      <c r="AL666" s="150"/>
      <c r="AM666" s="150"/>
      <c r="AN666" s="150"/>
      <c r="AO666" s="150"/>
      <c r="AP666" s="150"/>
      <c r="AQ666" s="150"/>
      <c r="AT666" s="186"/>
      <c r="AU666" s="186"/>
      <c r="AV666" s="186"/>
      <c r="AW666" s="186"/>
      <c r="AX666" s="186"/>
      <c r="AY666" s="186"/>
      <c r="AZ666" s="186"/>
      <c r="BA666" s="186"/>
      <c r="BB666" s="186"/>
      <c r="BC666" s="186"/>
      <c r="BD666" s="186"/>
      <c r="BE666" s="186"/>
      <c r="BF666" s="150"/>
      <c r="BG666" s="150"/>
    </row>
    <row r="667" spans="3:59" ht="14.6">
      <c r="C667" s="289"/>
      <c r="D667" s="150"/>
      <c r="E667" s="150"/>
      <c r="F667" s="150"/>
      <c r="G667" s="150"/>
      <c r="H667" s="150"/>
      <c r="I667" s="150"/>
      <c r="J667" s="150"/>
      <c r="K667" s="150"/>
      <c r="L667" s="150"/>
      <c r="M667" s="150"/>
      <c r="N667" s="150"/>
      <c r="O667" s="150"/>
      <c r="P667" s="150"/>
      <c r="Q667" s="150"/>
      <c r="R667" s="150"/>
      <c r="S667" s="150"/>
      <c r="T667" s="186"/>
      <c r="U667" s="186"/>
      <c r="V667" s="186"/>
      <c r="W667" s="186"/>
      <c r="X667" s="186"/>
      <c r="Y667" s="186"/>
      <c r="Z667" s="186"/>
      <c r="AA667" s="186"/>
      <c r="AB667" s="186"/>
      <c r="AC667" s="186"/>
      <c r="AD667" s="186"/>
      <c r="AF667" s="150"/>
      <c r="AG667" s="150"/>
      <c r="AH667" s="150"/>
      <c r="AI667" s="150"/>
      <c r="AJ667" s="150"/>
      <c r="AK667" s="150"/>
      <c r="AL667" s="150"/>
      <c r="AM667" s="150"/>
      <c r="AN667" s="150"/>
      <c r="AO667" s="150"/>
      <c r="AP667" s="150"/>
      <c r="AQ667" s="150"/>
      <c r="AT667" s="186"/>
      <c r="AU667" s="186"/>
      <c r="AV667" s="186"/>
      <c r="AW667" s="186"/>
      <c r="AX667" s="186"/>
      <c r="AY667" s="186"/>
      <c r="AZ667" s="186"/>
      <c r="BA667" s="186"/>
      <c r="BB667" s="186"/>
      <c r="BC667" s="186"/>
      <c r="BD667" s="186"/>
      <c r="BE667" s="186"/>
      <c r="BF667" s="150"/>
      <c r="BG667" s="150"/>
    </row>
    <row r="668" spans="3:59" ht="14.6">
      <c r="C668" s="289"/>
      <c r="D668" s="150"/>
      <c r="E668" s="150"/>
      <c r="F668" s="150"/>
      <c r="G668" s="150"/>
      <c r="H668" s="150"/>
      <c r="I668" s="150"/>
      <c r="J668" s="150"/>
      <c r="K668" s="150"/>
      <c r="L668" s="150"/>
      <c r="M668" s="150"/>
      <c r="N668" s="150"/>
      <c r="O668" s="150"/>
      <c r="P668" s="150"/>
      <c r="Q668" s="150"/>
      <c r="R668" s="150"/>
      <c r="S668" s="150"/>
      <c r="T668" s="186"/>
      <c r="U668" s="186"/>
      <c r="V668" s="186"/>
      <c r="W668" s="186"/>
      <c r="X668" s="186"/>
      <c r="Y668" s="186"/>
      <c r="Z668" s="186"/>
      <c r="AA668" s="186"/>
      <c r="AB668" s="186"/>
      <c r="AC668" s="186"/>
      <c r="AD668" s="186"/>
      <c r="AF668" s="150"/>
      <c r="AG668" s="150"/>
      <c r="AH668" s="150"/>
      <c r="AI668" s="150"/>
      <c r="AJ668" s="150"/>
      <c r="AK668" s="150"/>
      <c r="AL668" s="150"/>
      <c r="AM668" s="150"/>
      <c r="AN668" s="150"/>
      <c r="AO668" s="150"/>
      <c r="AP668" s="150"/>
      <c r="AQ668" s="150"/>
      <c r="AT668" s="186"/>
      <c r="AU668" s="186"/>
      <c r="AV668" s="186"/>
      <c r="AW668" s="186"/>
      <c r="AX668" s="186"/>
      <c r="AY668" s="186"/>
      <c r="AZ668" s="186"/>
      <c r="BA668" s="186"/>
      <c r="BB668" s="186"/>
      <c r="BC668" s="186"/>
      <c r="BD668" s="186"/>
      <c r="BE668" s="186"/>
      <c r="BF668" s="150"/>
      <c r="BG668" s="150"/>
    </row>
    <row r="669" spans="3:59" ht="14.6">
      <c r="C669" s="289"/>
      <c r="D669" s="150"/>
      <c r="E669" s="150"/>
      <c r="F669" s="150"/>
      <c r="G669" s="150"/>
      <c r="H669" s="150"/>
      <c r="I669" s="150"/>
      <c r="J669" s="150"/>
      <c r="K669" s="150"/>
      <c r="L669" s="150"/>
      <c r="M669" s="150"/>
      <c r="N669" s="150"/>
      <c r="O669" s="150"/>
      <c r="P669" s="150"/>
      <c r="Q669" s="150"/>
      <c r="R669" s="150"/>
      <c r="S669" s="150"/>
      <c r="T669" s="186"/>
      <c r="U669" s="186"/>
      <c r="V669" s="186"/>
      <c r="W669" s="186"/>
      <c r="X669" s="186"/>
      <c r="Y669" s="186"/>
      <c r="Z669" s="186"/>
      <c r="AA669" s="186"/>
      <c r="AB669" s="186"/>
      <c r="AC669" s="186"/>
      <c r="AD669" s="186"/>
      <c r="AF669" s="150"/>
      <c r="AG669" s="150"/>
      <c r="AH669" s="150"/>
      <c r="AI669" s="150"/>
      <c r="AJ669" s="150"/>
      <c r="AK669" s="150"/>
      <c r="AL669" s="150"/>
      <c r="AM669" s="150"/>
      <c r="AN669" s="150"/>
      <c r="AO669" s="150"/>
      <c r="AP669" s="150"/>
      <c r="AQ669" s="150"/>
      <c r="AT669" s="186"/>
      <c r="AU669" s="186"/>
      <c r="AV669" s="186"/>
      <c r="AW669" s="186"/>
      <c r="AX669" s="186"/>
      <c r="AY669" s="186"/>
      <c r="AZ669" s="186"/>
      <c r="BA669" s="186"/>
      <c r="BB669" s="186"/>
      <c r="BC669" s="186"/>
      <c r="BD669" s="186"/>
      <c r="BE669" s="186"/>
      <c r="BF669" s="150"/>
      <c r="BG669" s="150"/>
    </row>
    <row r="670" spans="3:59" ht="14.6">
      <c r="C670" s="289"/>
      <c r="D670" s="150"/>
      <c r="E670" s="150"/>
      <c r="F670" s="150"/>
      <c r="G670" s="150"/>
      <c r="H670" s="150"/>
      <c r="I670" s="150"/>
      <c r="J670" s="150"/>
      <c r="K670" s="150"/>
      <c r="L670" s="150"/>
      <c r="M670" s="150"/>
      <c r="N670" s="150"/>
      <c r="O670" s="150"/>
      <c r="P670" s="150"/>
      <c r="Q670" s="150"/>
      <c r="R670" s="150"/>
      <c r="S670" s="150"/>
      <c r="T670" s="186"/>
      <c r="U670" s="186"/>
      <c r="V670" s="186"/>
      <c r="W670" s="186"/>
      <c r="X670" s="186"/>
      <c r="Y670" s="186"/>
      <c r="Z670" s="186"/>
      <c r="AA670" s="186"/>
      <c r="AB670" s="186"/>
      <c r="AC670" s="186"/>
      <c r="AD670" s="186"/>
      <c r="AF670" s="150"/>
      <c r="AG670" s="150"/>
      <c r="AH670" s="150"/>
      <c r="AI670" s="150"/>
      <c r="AJ670" s="150"/>
      <c r="AK670" s="150"/>
      <c r="AL670" s="150"/>
      <c r="AM670" s="150"/>
      <c r="AN670" s="150"/>
      <c r="AO670" s="150"/>
      <c r="AP670" s="150"/>
      <c r="AQ670" s="150"/>
      <c r="AT670" s="186"/>
      <c r="AU670" s="186"/>
      <c r="AV670" s="186"/>
      <c r="AW670" s="186"/>
      <c r="AX670" s="186"/>
      <c r="AY670" s="186"/>
      <c r="AZ670" s="186"/>
      <c r="BA670" s="186"/>
      <c r="BB670" s="186"/>
      <c r="BC670" s="186"/>
      <c r="BD670" s="186"/>
      <c r="BE670" s="186"/>
      <c r="BF670" s="150"/>
      <c r="BG670" s="150"/>
    </row>
    <row r="671" spans="3:59" ht="14.6">
      <c r="C671" s="289"/>
      <c r="D671" s="150"/>
      <c r="E671" s="150"/>
      <c r="F671" s="150"/>
      <c r="G671" s="150"/>
      <c r="H671" s="150"/>
      <c r="I671" s="150"/>
      <c r="J671" s="150"/>
      <c r="K671" s="150"/>
      <c r="L671" s="150"/>
      <c r="M671" s="150"/>
      <c r="N671" s="150"/>
      <c r="O671" s="150"/>
      <c r="P671" s="150"/>
      <c r="Q671" s="150"/>
      <c r="R671" s="150"/>
      <c r="S671" s="150"/>
      <c r="T671" s="186"/>
      <c r="U671" s="186"/>
      <c r="V671" s="186"/>
      <c r="W671" s="186"/>
      <c r="X671" s="186"/>
      <c r="Y671" s="186"/>
      <c r="Z671" s="186"/>
      <c r="AA671" s="186"/>
      <c r="AB671" s="186"/>
      <c r="AC671" s="186"/>
      <c r="AD671" s="186"/>
      <c r="AF671" s="150"/>
      <c r="AG671" s="150"/>
      <c r="AH671" s="150"/>
      <c r="AI671" s="150"/>
      <c r="AJ671" s="150"/>
      <c r="AK671" s="150"/>
      <c r="AL671" s="150"/>
      <c r="AM671" s="150"/>
      <c r="AN671" s="150"/>
      <c r="AO671" s="150"/>
      <c r="AP671" s="150"/>
      <c r="AQ671" s="150"/>
      <c r="AT671" s="186"/>
      <c r="AU671" s="186"/>
      <c r="AV671" s="186"/>
      <c r="AW671" s="186"/>
      <c r="AX671" s="186"/>
      <c r="AY671" s="186"/>
      <c r="AZ671" s="186"/>
      <c r="BA671" s="186"/>
      <c r="BB671" s="186"/>
      <c r="BC671" s="186"/>
      <c r="BD671" s="186"/>
      <c r="BE671" s="186"/>
      <c r="BF671" s="150"/>
      <c r="BG671" s="150"/>
    </row>
    <row r="672" spans="3:59" ht="14.6">
      <c r="C672" s="289"/>
      <c r="D672" s="150"/>
      <c r="E672" s="150"/>
      <c r="F672" s="150"/>
      <c r="G672" s="150"/>
      <c r="H672" s="150"/>
      <c r="I672" s="150"/>
      <c r="J672" s="150"/>
      <c r="K672" s="150"/>
      <c r="L672" s="150"/>
      <c r="M672" s="150"/>
      <c r="N672" s="150"/>
      <c r="O672" s="150"/>
      <c r="P672" s="150"/>
      <c r="Q672" s="150"/>
      <c r="R672" s="150"/>
      <c r="S672" s="150"/>
      <c r="T672" s="186"/>
      <c r="U672" s="186"/>
      <c r="V672" s="186"/>
      <c r="W672" s="186"/>
      <c r="X672" s="186"/>
      <c r="Y672" s="186"/>
      <c r="Z672" s="186"/>
      <c r="AA672" s="186"/>
      <c r="AB672" s="186"/>
      <c r="AC672" s="186"/>
      <c r="AD672" s="186"/>
      <c r="AF672" s="150"/>
      <c r="AG672" s="150"/>
      <c r="AH672" s="150"/>
      <c r="AI672" s="150"/>
      <c r="AJ672" s="150"/>
      <c r="AK672" s="150"/>
      <c r="AL672" s="150"/>
      <c r="AM672" s="150"/>
      <c r="AN672" s="150"/>
      <c r="AO672" s="150"/>
      <c r="AP672" s="150"/>
      <c r="AQ672" s="150"/>
      <c r="AT672" s="186"/>
      <c r="AU672" s="186"/>
      <c r="AV672" s="186"/>
      <c r="AW672" s="186"/>
      <c r="AX672" s="186"/>
      <c r="AY672" s="186"/>
      <c r="AZ672" s="186"/>
      <c r="BA672" s="186"/>
      <c r="BB672" s="186"/>
      <c r="BC672" s="186"/>
      <c r="BD672" s="186"/>
      <c r="BE672" s="186"/>
      <c r="BF672" s="150"/>
      <c r="BG672" s="150"/>
    </row>
    <row r="673" spans="3:59" ht="14.6">
      <c r="C673" s="289"/>
      <c r="D673" s="150"/>
      <c r="E673" s="150"/>
      <c r="F673" s="150"/>
      <c r="G673" s="150"/>
      <c r="H673" s="150"/>
      <c r="I673" s="150"/>
      <c r="J673" s="150"/>
      <c r="K673" s="150"/>
      <c r="L673" s="150"/>
      <c r="M673" s="150"/>
      <c r="N673" s="150"/>
      <c r="O673" s="150"/>
      <c r="P673" s="150"/>
      <c r="Q673" s="150"/>
      <c r="R673" s="150"/>
      <c r="S673" s="150"/>
      <c r="T673" s="186"/>
      <c r="U673" s="186"/>
      <c r="V673" s="186"/>
      <c r="W673" s="186"/>
      <c r="X673" s="186"/>
      <c r="Y673" s="186"/>
      <c r="Z673" s="186"/>
      <c r="AA673" s="186"/>
      <c r="AB673" s="186"/>
      <c r="AC673" s="186"/>
      <c r="AD673" s="186"/>
      <c r="AF673" s="150"/>
      <c r="AG673" s="150"/>
      <c r="AH673" s="150"/>
      <c r="AI673" s="150"/>
      <c r="AJ673" s="150"/>
      <c r="AK673" s="150"/>
      <c r="AL673" s="150"/>
      <c r="AM673" s="150"/>
      <c r="AN673" s="150"/>
      <c r="AO673" s="150"/>
      <c r="AP673" s="150"/>
      <c r="AQ673" s="150"/>
      <c r="AT673" s="186"/>
      <c r="AU673" s="186"/>
      <c r="AV673" s="186"/>
      <c r="AW673" s="186"/>
      <c r="AX673" s="186"/>
      <c r="AY673" s="186"/>
      <c r="AZ673" s="186"/>
      <c r="BA673" s="186"/>
      <c r="BB673" s="186"/>
      <c r="BC673" s="186"/>
      <c r="BD673" s="186"/>
      <c r="BE673" s="186"/>
      <c r="BF673" s="150"/>
      <c r="BG673" s="150"/>
    </row>
    <row r="674" spans="3:59" ht="14.6">
      <c r="C674" s="289"/>
      <c r="D674" s="150"/>
      <c r="E674" s="150"/>
      <c r="F674" s="150"/>
      <c r="G674" s="150"/>
      <c r="H674" s="150"/>
      <c r="I674" s="150"/>
      <c r="J674" s="150"/>
      <c r="K674" s="150"/>
      <c r="L674" s="150"/>
      <c r="M674" s="150"/>
      <c r="N674" s="150"/>
      <c r="O674" s="150"/>
      <c r="P674" s="150"/>
      <c r="Q674" s="150"/>
      <c r="R674" s="150"/>
      <c r="S674" s="150"/>
      <c r="T674" s="186"/>
      <c r="U674" s="186"/>
      <c r="V674" s="186"/>
      <c r="W674" s="186"/>
      <c r="X674" s="186"/>
      <c r="Y674" s="186"/>
      <c r="Z674" s="186"/>
      <c r="AA674" s="186"/>
      <c r="AB674" s="186"/>
      <c r="AC674" s="186"/>
      <c r="AD674" s="186"/>
      <c r="AF674" s="150"/>
      <c r="AG674" s="150"/>
      <c r="AH674" s="150"/>
      <c r="AI674" s="150"/>
      <c r="AJ674" s="150"/>
      <c r="AK674" s="150"/>
      <c r="AL674" s="150"/>
      <c r="AM674" s="150"/>
      <c r="AN674" s="150"/>
      <c r="AO674" s="150"/>
      <c r="AP674" s="150"/>
      <c r="AQ674" s="150"/>
      <c r="AT674" s="186"/>
      <c r="AU674" s="186"/>
      <c r="AV674" s="186"/>
      <c r="AW674" s="186"/>
      <c r="AX674" s="186"/>
      <c r="AY674" s="186"/>
      <c r="AZ674" s="186"/>
      <c r="BA674" s="186"/>
      <c r="BB674" s="186"/>
      <c r="BC674" s="186"/>
      <c r="BD674" s="186"/>
      <c r="BE674" s="186"/>
      <c r="BF674" s="150"/>
      <c r="BG674" s="150"/>
    </row>
    <row r="675" spans="3:59" ht="14.6">
      <c r="C675" s="289"/>
      <c r="D675" s="150"/>
      <c r="E675" s="150"/>
      <c r="F675" s="150"/>
      <c r="G675" s="150"/>
      <c r="H675" s="150"/>
      <c r="I675" s="150"/>
      <c r="J675" s="150"/>
      <c r="K675" s="150"/>
      <c r="L675" s="150"/>
      <c r="M675" s="150"/>
      <c r="N675" s="150"/>
      <c r="O675" s="150"/>
      <c r="P675" s="150"/>
      <c r="Q675" s="150"/>
      <c r="R675" s="150"/>
      <c r="S675" s="150"/>
      <c r="T675" s="186"/>
      <c r="U675" s="186"/>
      <c r="V675" s="186"/>
      <c r="W675" s="186"/>
      <c r="X675" s="186"/>
      <c r="Y675" s="186"/>
      <c r="Z675" s="186"/>
      <c r="AA675" s="186"/>
      <c r="AB675" s="186"/>
      <c r="AC675" s="186"/>
      <c r="AD675" s="186"/>
      <c r="AF675" s="150"/>
      <c r="AG675" s="150"/>
      <c r="AH675" s="150"/>
      <c r="AI675" s="150"/>
      <c r="AJ675" s="150"/>
      <c r="AK675" s="150"/>
      <c r="AL675" s="150"/>
      <c r="AM675" s="150"/>
      <c r="AN675" s="150"/>
      <c r="AO675" s="150"/>
      <c r="AP675" s="150"/>
      <c r="AQ675" s="150"/>
      <c r="AT675" s="186"/>
      <c r="AU675" s="186"/>
      <c r="AV675" s="186"/>
      <c r="AW675" s="186"/>
      <c r="AX675" s="186"/>
      <c r="AY675" s="186"/>
      <c r="AZ675" s="186"/>
      <c r="BA675" s="186"/>
      <c r="BB675" s="186"/>
      <c r="BC675" s="186"/>
      <c r="BD675" s="186"/>
      <c r="BE675" s="186"/>
      <c r="BF675" s="150"/>
      <c r="BG675" s="150"/>
    </row>
    <row r="676" spans="3:59" ht="14.6">
      <c r="C676" s="289"/>
      <c r="D676" s="150"/>
      <c r="E676" s="150"/>
      <c r="F676" s="150"/>
      <c r="G676" s="150"/>
      <c r="H676" s="150"/>
      <c r="I676" s="150"/>
      <c r="J676" s="150"/>
      <c r="K676" s="150"/>
      <c r="L676" s="150"/>
      <c r="M676" s="150"/>
      <c r="N676" s="150"/>
      <c r="O676" s="150"/>
      <c r="P676" s="150"/>
      <c r="Q676" s="150"/>
      <c r="R676" s="150"/>
      <c r="S676" s="150"/>
      <c r="T676" s="186"/>
      <c r="U676" s="186"/>
      <c r="V676" s="186"/>
      <c r="W676" s="186"/>
      <c r="X676" s="186"/>
      <c r="Y676" s="186"/>
      <c r="Z676" s="186"/>
      <c r="AA676" s="186"/>
      <c r="AB676" s="186"/>
      <c r="AC676" s="186"/>
      <c r="AD676" s="186"/>
      <c r="AF676" s="150"/>
      <c r="AG676" s="150"/>
      <c r="AH676" s="150"/>
      <c r="AI676" s="150"/>
      <c r="AJ676" s="150"/>
      <c r="AK676" s="150"/>
      <c r="AL676" s="150"/>
      <c r="AM676" s="150"/>
      <c r="AN676" s="150"/>
      <c r="AO676" s="150"/>
      <c r="AP676" s="150"/>
      <c r="AQ676" s="150"/>
      <c r="AT676" s="186"/>
      <c r="AU676" s="186"/>
      <c r="AV676" s="186"/>
      <c r="AW676" s="186"/>
      <c r="AX676" s="186"/>
      <c r="AY676" s="186"/>
      <c r="AZ676" s="186"/>
      <c r="BA676" s="186"/>
      <c r="BB676" s="186"/>
      <c r="BC676" s="186"/>
      <c r="BD676" s="186"/>
      <c r="BE676" s="186"/>
      <c r="BF676" s="150"/>
      <c r="BG676" s="150"/>
    </row>
    <row r="677" spans="3:59" ht="14.6">
      <c r="C677" s="289"/>
      <c r="D677" s="150"/>
      <c r="E677" s="150"/>
      <c r="F677" s="150"/>
      <c r="G677" s="150"/>
      <c r="H677" s="150"/>
      <c r="I677" s="150"/>
      <c r="J677" s="150"/>
      <c r="K677" s="150"/>
      <c r="L677" s="150"/>
      <c r="M677" s="150"/>
      <c r="N677" s="150"/>
      <c r="O677" s="150"/>
      <c r="P677" s="150"/>
      <c r="Q677" s="150"/>
      <c r="R677" s="150"/>
      <c r="S677" s="150"/>
      <c r="T677" s="186"/>
      <c r="U677" s="186"/>
      <c r="V677" s="186"/>
      <c r="W677" s="186"/>
      <c r="X677" s="186"/>
      <c r="Y677" s="186"/>
      <c r="Z677" s="186"/>
      <c r="AA677" s="186"/>
      <c r="AB677" s="186"/>
      <c r="AC677" s="186"/>
      <c r="AD677" s="186"/>
      <c r="AF677" s="150"/>
      <c r="AG677" s="150"/>
      <c r="AH677" s="150"/>
      <c r="AI677" s="150"/>
      <c r="AJ677" s="150"/>
      <c r="AK677" s="150"/>
      <c r="AL677" s="150"/>
      <c r="AM677" s="150"/>
      <c r="AN677" s="150"/>
      <c r="AO677" s="150"/>
      <c r="AP677" s="150"/>
      <c r="AQ677" s="150"/>
      <c r="AT677" s="186"/>
      <c r="AU677" s="186"/>
      <c r="AV677" s="186"/>
      <c r="AW677" s="186"/>
      <c r="AX677" s="186"/>
      <c r="AY677" s="186"/>
      <c r="AZ677" s="186"/>
      <c r="BA677" s="186"/>
      <c r="BB677" s="186"/>
      <c r="BC677" s="186"/>
      <c r="BD677" s="186"/>
      <c r="BE677" s="186"/>
      <c r="BF677" s="150"/>
      <c r="BG677" s="150"/>
    </row>
    <row r="678" spans="3:59" ht="14.6">
      <c r="C678" s="289"/>
      <c r="D678" s="150"/>
      <c r="E678" s="150"/>
      <c r="F678" s="150"/>
      <c r="G678" s="150"/>
      <c r="H678" s="150"/>
      <c r="I678" s="150"/>
      <c r="J678" s="150"/>
      <c r="K678" s="150"/>
      <c r="L678" s="150"/>
      <c r="M678" s="150"/>
      <c r="N678" s="150"/>
      <c r="O678" s="150"/>
      <c r="P678" s="150"/>
      <c r="Q678" s="150"/>
      <c r="R678" s="150"/>
      <c r="S678" s="150"/>
      <c r="T678" s="186"/>
      <c r="U678" s="186"/>
      <c r="V678" s="186"/>
      <c r="W678" s="186"/>
      <c r="X678" s="186"/>
      <c r="Y678" s="186"/>
      <c r="Z678" s="186"/>
      <c r="AA678" s="186"/>
      <c r="AB678" s="186"/>
      <c r="AC678" s="186"/>
      <c r="AD678" s="186"/>
      <c r="AF678" s="150"/>
      <c r="AG678" s="150"/>
      <c r="AH678" s="150"/>
      <c r="AI678" s="150"/>
      <c r="AJ678" s="150"/>
      <c r="AK678" s="150"/>
      <c r="AL678" s="150"/>
      <c r="AM678" s="150"/>
      <c r="AN678" s="150"/>
      <c r="AO678" s="150"/>
      <c r="AP678" s="150"/>
      <c r="AQ678" s="150"/>
      <c r="AT678" s="186"/>
      <c r="AU678" s="186"/>
      <c r="AV678" s="186"/>
      <c r="AW678" s="186"/>
      <c r="AX678" s="186"/>
      <c r="AY678" s="186"/>
      <c r="AZ678" s="186"/>
      <c r="BA678" s="186"/>
      <c r="BB678" s="186"/>
      <c r="BC678" s="186"/>
      <c r="BD678" s="186"/>
      <c r="BE678" s="186"/>
      <c r="BF678" s="150"/>
      <c r="BG678" s="150"/>
    </row>
    <row r="679" spans="3:59" ht="14.6">
      <c r="C679" s="289"/>
      <c r="D679" s="150"/>
      <c r="E679" s="150"/>
      <c r="F679" s="150"/>
      <c r="G679" s="150"/>
      <c r="H679" s="150"/>
      <c r="I679" s="150"/>
      <c r="J679" s="150"/>
      <c r="K679" s="150"/>
      <c r="L679" s="150"/>
      <c r="M679" s="150"/>
      <c r="N679" s="150"/>
      <c r="O679" s="150"/>
      <c r="P679" s="150"/>
      <c r="Q679" s="150"/>
      <c r="R679" s="150"/>
      <c r="S679" s="150"/>
      <c r="T679" s="186"/>
      <c r="U679" s="186"/>
      <c r="V679" s="186"/>
      <c r="W679" s="186"/>
      <c r="X679" s="186"/>
      <c r="Y679" s="186"/>
      <c r="Z679" s="186"/>
      <c r="AA679" s="186"/>
      <c r="AB679" s="186"/>
      <c r="AC679" s="186"/>
      <c r="AD679" s="186"/>
      <c r="AF679" s="150"/>
      <c r="AG679" s="150"/>
      <c r="AH679" s="150"/>
      <c r="AI679" s="150"/>
      <c r="AJ679" s="150"/>
      <c r="AK679" s="150"/>
      <c r="AL679" s="150"/>
      <c r="AM679" s="150"/>
      <c r="AN679" s="150"/>
      <c r="AO679" s="150"/>
      <c r="AP679" s="150"/>
      <c r="AQ679" s="150"/>
      <c r="AT679" s="186"/>
      <c r="AU679" s="186"/>
      <c r="AV679" s="186"/>
      <c r="AW679" s="186"/>
      <c r="AX679" s="186"/>
      <c r="AY679" s="186"/>
      <c r="AZ679" s="186"/>
      <c r="BA679" s="186"/>
      <c r="BB679" s="186"/>
      <c r="BC679" s="186"/>
      <c r="BD679" s="186"/>
      <c r="BE679" s="186"/>
      <c r="BF679" s="150"/>
      <c r="BG679" s="150"/>
    </row>
    <row r="680" spans="3:59" ht="14.6">
      <c r="C680" s="289"/>
      <c r="D680" s="150"/>
      <c r="E680" s="150"/>
      <c r="F680" s="150"/>
      <c r="G680" s="150"/>
      <c r="H680" s="150"/>
      <c r="I680" s="150"/>
      <c r="J680" s="150"/>
      <c r="K680" s="150"/>
      <c r="L680" s="150"/>
      <c r="M680" s="150"/>
      <c r="N680" s="150"/>
      <c r="O680" s="150"/>
      <c r="P680" s="150"/>
      <c r="Q680" s="150"/>
      <c r="R680" s="150"/>
      <c r="S680" s="150"/>
      <c r="T680" s="186"/>
      <c r="U680" s="186"/>
      <c r="V680" s="186"/>
      <c r="W680" s="186"/>
      <c r="X680" s="186"/>
      <c r="Y680" s="186"/>
      <c r="Z680" s="186"/>
      <c r="AA680" s="186"/>
      <c r="AB680" s="186"/>
      <c r="AC680" s="186"/>
      <c r="AD680" s="186"/>
      <c r="AF680" s="150"/>
      <c r="AG680" s="150"/>
      <c r="AH680" s="150"/>
      <c r="AI680" s="150"/>
      <c r="AJ680" s="150"/>
      <c r="AK680" s="150"/>
      <c r="AL680" s="150"/>
      <c r="AM680" s="150"/>
      <c r="AN680" s="150"/>
      <c r="AO680" s="150"/>
      <c r="AP680" s="150"/>
      <c r="AQ680" s="150"/>
      <c r="AT680" s="186"/>
      <c r="AU680" s="186"/>
      <c r="AV680" s="186"/>
      <c r="AW680" s="186"/>
      <c r="AX680" s="186"/>
      <c r="AY680" s="186"/>
      <c r="AZ680" s="186"/>
      <c r="BA680" s="186"/>
      <c r="BB680" s="186"/>
      <c r="BC680" s="186"/>
      <c r="BD680" s="186"/>
      <c r="BE680" s="186"/>
      <c r="BF680" s="150"/>
      <c r="BG680" s="150"/>
    </row>
    <row r="681" spans="3:59" ht="14.6">
      <c r="C681" s="289"/>
      <c r="D681" s="150"/>
      <c r="E681" s="150"/>
      <c r="F681" s="150"/>
      <c r="G681" s="150"/>
      <c r="H681" s="150"/>
      <c r="I681" s="150"/>
      <c r="J681" s="150"/>
      <c r="K681" s="150"/>
      <c r="L681" s="150"/>
      <c r="M681" s="150"/>
      <c r="N681" s="150"/>
      <c r="O681" s="150"/>
      <c r="P681" s="150"/>
      <c r="Q681" s="150"/>
      <c r="R681" s="150"/>
      <c r="S681" s="150"/>
      <c r="T681" s="186"/>
      <c r="U681" s="186"/>
      <c r="V681" s="186"/>
      <c r="W681" s="186"/>
      <c r="X681" s="186"/>
      <c r="Y681" s="186"/>
      <c r="Z681" s="186"/>
      <c r="AA681" s="186"/>
      <c r="AB681" s="186"/>
      <c r="AC681" s="186"/>
      <c r="AD681" s="186"/>
      <c r="AF681" s="150"/>
      <c r="AG681" s="150"/>
      <c r="AH681" s="150"/>
      <c r="AI681" s="150"/>
      <c r="AJ681" s="150"/>
      <c r="AK681" s="150"/>
      <c r="AL681" s="150"/>
      <c r="AM681" s="150"/>
      <c r="AN681" s="150"/>
      <c r="AO681" s="150"/>
      <c r="AP681" s="150"/>
      <c r="AQ681" s="150"/>
      <c r="AT681" s="186"/>
      <c r="AU681" s="186"/>
      <c r="AV681" s="186"/>
      <c r="AW681" s="186"/>
      <c r="AX681" s="186"/>
      <c r="AY681" s="186"/>
      <c r="AZ681" s="186"/>
      <c r="BA681" s="186"/>
      <c r="BB681" s="186"/>
      <c r="BC681" s="186"/>
      <c r="BD681" s="186"/>
      <c r="BE681" s="186"/>
      <c r="BF681" s="150"/>
      <c r="BG681" s="150"/>
    </row>
    <row r="682" spans="3:59" ht="14.6">
      <c r="C682" s="289"/>
      <c r="D682" s="150"/>
      <c r="E682" s="150"/>
      <c r="F682" s="150"/>
      <c r="G682" s="150"/>
      <c r="H682" s="150"/>
      <c r="I682" s="150"/>
      <c r="J682" s="150"/>
      <c r="K682" s="150"/>
      <c r="L682" s="150"/>
      <c r="M682" s="150"/>
      <c r="N682" s="150"/>
      <c r="O682" s="150"/>
      <c r="P682" s="150"/>
      <c r="Q682" s="150"/>
      <c r="R682" s="150"/>
      <c r="S682" s="150"/>
      <c r="T682" s="186"/>
      <c r="U682" s="186"/>
      <c r="V682" s="186"/>
      <c r="W682" s="186"/>
      <c r="X682" s="186"/>
      <c r="Y682" s="186"/>
      <c r="Z682" s="186"/>
      <c r="AA682" s="186"/>
      <c r="AB682" s="186"/>
      <c r="AC682" s="186"/>
      <c r="AD682" s="186"/>
      <c r="AF682" s="150"/>
      <c r="AG682" s="150"/>
      <c r="AH682" s="150"/>
      <c r="AI682" s="150"/>
      <c r="AJ682" s="150"/>
      <c r="AK682" s="150"/>
      <c r="AL682" s="150"/>
      <c r="AM682" s="150"/>
      <c r="AN682" s="150"/>
      <c r="AO682" s="150"/>
      <c r="AP682" s="150"/>
      <c r="AQ682" s="150"/>
      <c r="AT682" s="186"/>
      <c r="AU682" s="186"/>
      <c r="AV682" s="186"/>
      <c r="AW682" s="186"/>
      <c r="AX682" s="186"/>
      <c r="AY682" s="186"/>
      <c r="AZ682" s="186"/>
      <c r="BA682" s="186"/>
      <c r="BB682" s="186"/>
      <c r="BC682" s="186"/>
      <c r="BD682" s="186"/>
      <c r="BE682" s="186"/>
      <c r="BF682" s="150"/>
      <c r="BG682" s="150"/>
    </row>
    <row r="683" spans="3:59" ht="14.6">
      <c r="C683" s="289"/>
      <c r="D683" s="150"/>
      <c r="E683" s="150"/>
      <c r="F683" s="150"/>
      <c r="G683" s="150"/>
      <c r="H683" s="150"/>
      <c r="I683" s="150"/>
      <c r="J683" s="150"/>
      <c r="K683" s="150"/>
      <c r="L683" s="150"/>
      <c r="M683" s="150"/>
      <c r="N683" s="150"/>
      <c r="O683" s="150"/>
      <c r="P683" s="150"/>
      <c r="Q683" s="150"/>
      <c r="R683" s="150"/>
      <c r="S683" s="150"/>
      <c r="T683" s="186"/>
      <c r="U683" s="186"/>
      <c r="V683" s="186"/>
      <c r="W683" s="186"/>
      <c r="X683" s="186"/>
      <c r="Y683" s="186"/>
      <c r="Z683" s="186"/>
      <c r="AA683" s="186"/>
      <c r="AB683" s="186"/>
      <c r="AC683" s="186"/>
      <c r="AD683" s="186"/>
      <c r="AF683" s="150"/>
      <c r="AG683" s="150"/>
      <c r="AH683" s="150"/>
      <c r="AI683" s="150"/>
      <c r="AJ683" s="150"/>
      <c r="AK683" s="150"/>
      <c r="AL683" s="150"/>
      <c r="AM683" s="150"/>
      <c r="AN683" s="150"/>
      <c r="AO683" s="150"/>
      <c r="AP683" s="150"/>
      <c r="AQ683" s="150"/>
      <c r="AT683" s="186"/>
      <c r="AU683" s="186"/>
      <c r="AV683" s="186"/>
      <c r="AW683" s="186"/>
      <c r="AX683" s="186"/>
      <c r="AY683" s="186"/>
      <c r="AZ683" s="186"/>
      <c r="BA683" s="186"/>
      <c r="BB683" s="186"/>
      <c r="BC683" s="186"/>
      <c r="BD683" s="186"/>
      <c r="BE683" s="186"/>
      <c r="BF683" s="150"/>
      <c r="BG683" s="150"/>
    </row>
    <row r="684" spans="3:59" ht="14.6">
      <c r="C684" s="289"/>
      <c r="D684" s="150"/>
      <c r="E684" s="150"/>
      <c r="F684" s="150"/>
      <c r="G684" s="150"/>
      <c r="H684" s="150"/>
      <c r="I684" s="150"/>
      <c r="J684" s="150"/>
      <c r="K684" s="150"/>
      <c r="L684" s="150"/>
      <c r="M684" s="150"/>
      <c r="N684" s="150"/>
      <c r="O684" s="150"/>
      <c r="P684" s="150"/>
      <c r="Q684" s="150"/>
      <c r="R684" s="150"/>
      <c r="S684" s="150"/>
      <c r="T684" s="186"/>
      <c r="U684" s="186"/>
      <c r="V684" s="186"/>
      <c r="W684" s="186"/>
      <c r="X684" s="186"/>
      <c r="Y684" s="186"/>
      <c r="Z684" s="186"/>
      <c r="AA684" s="186"/>
      <c r="AB684" s="186"/>
      <c r="AC684" s="186"/>
      <c r="AD684" s="186"/>
      <c r="AF684" s="150"/>
      <c r="AG684" s="150"/>
      <c r="AH684" s="150"/>
      <c r="AI684" s="150"/>
      <c r="AJ684" s="150"/>
      <c r="AK684" s="150"/>
      <c r="AL684" s="150"/>
      <c r="AM684" s="150"/>
      <c r="AN684" s="150"/>
      <c r="AO684" s="150"/>
      <c r="AP684" s="150"/>
      <c r="AQ684" s="150"/>
      <c r="AT684" s="186"/>
      <c r="AU684" s="186"/>
      <c r="AV684" s="186"/>
      <c r="AW684" s="186"/>
      <c r="AX684" s="186"/>
      <c r="AY684" s="186"/>
      <c r="AZ684" s="186"/>
      <c r="BA684" s="186"/>
      <c r="BB684" s="186"/>
      <c r="BC684" s="186"/>
      <c r="BD684" s="186"/>
      <c r="BE684" s="186"/>
      <c r="BF684" s="150"/>
      <c r="BG684" s="150"/>
    </row>
    <row r="685" spans="3:59" ht="14.6">
      <c r="C685" s="289"/>
      <c r="D685" s="150"/>
      <c r="E685" s="150"/>
      <c r="F685" s="150"/>
      <c r="G685" s="150"/>
      <c r="H685" s="150"/>
      <c r="I685" s="150"/>
      <c r="J685" s="150"/>
      <c r="K685" s="150"/>
      <c r="L685" s="150"/>
      <c r="M685" s="150"/>
      <c r="N685" s="150"/>
      <c r="O685" s="150"/>
      <c r="P685" s="150"/>
      <c r="Q685" s="150"/>
      <c r="R685" s="150"/>
      <c r="S685" s="150"/>
      <c r="T685" s="186"/>
      <c r="U685" s="186"/>
      <c r="V685" s="186"/>
      <c r="W685" s="186"/>
      <c r="X685" s="186"/>
      <c r="Y685" s="186"/>
      <c r="Z685" s="186"/>
      <c r="AA685" s="186"/>
      <c r="AB685" s="186"/>
      <c r="AC685" s="186"/>
      <c r="AD685" s="186"/>
      <c r="AF685" s="150"/>
      <c r="AG685" s="150"/>
      <c r="AH685" s="150"/>
      <c r="AI685" s="150"/>
      <c r="AJ685" s="150"/>
      <c r="AK685" s="150"/>
      <c r="AL685" s="150"/>
      <c r="AM685" s="150"/>
      <c r="AN685" s="150"/>
      <c r="AO685" s="150"/>
      <c r="AP685" s="150"/>
      <c r="AQ685" s="150"/>
      <c r="AT685" s="186"/>
      <c r="AU685" s="186"/>
      <c r="AV685" s="186"/>
      <c r="AW685" s="186"/>
      <c r="AX685" s="186"/>
      <c r="AY685" s="186"/>
      <c r="AZ685" s="186"/>
      <c r="BA685" s="186"/>
      <c r="BB685" s="186"/>
      <c r="BC685" s="186"/>
      <c r="BD685" s="186"/>
      <c r="BE685" s="186"/>
      <c r="BF685" s="150"/>
      <c r="BG685" s="150"/>
    </row>
    <row r="686" spans="3:59" ht="14.6">
      <c r="C686" s="289"/>
      <c r="D686" s="150"/>
      <c r="E686" s="150"/>
      <c r="F686" s="150"/>
      <c r="G686" s="150"/>
      <c r="H686" s="150"/>
      <c r="I686" s="150"/>
      <c r="J686" s="150"/>
      <c r="K686" s="150"/>
      <c r="L686" s="150"/>
      <c r="M686" s="150"/>
      <c r="N686" s="150"/>
      <c r="O686" s="150"/>
      <c r="P686" s="150"/>
      <c r="Q686" s="150"/>
      <c r="R686" s="150"/>
      <c r="S686" s="150"/>
      <c r="T686" s="186"/>
      <c r="U686" s="186"/>
      <c r="V686" s="186"/>
      <c r="W686" s="186"/>
      <c r="X686" s="186"/>
      <c r="Y686" s="186"/>
      <c r="Z686" s="186"/>
      <c r="AA686" s="186"/>
      <c r="AB686" s="186"/>
      <c r="AC686" s="186"/>
      <c r="AD686" s="186"/>
      <c r="AF686" s="150"/>
      <c r="AG686" s="150"/>
      <c r="AH686" s="150"/>
      <c r="AI686" s="150"/>
      <c r="AJ686" s="150"/>
      <c r="AK686" s="150"/>
      <c r="AL686" s="150"/>
      <c r="AM686" s="150"/>
      <c r="AN686" s="150"/>
      <c r="AO686" s="150"/>
      <c r="AP686" s="150"/>
      <c r="AQ686" s="150"/>
      <c r="AT686" s="186"/>
      <c r="AU686" s="186"/>
      <c r="AV686" s="186"/>
      <c r="AW686" s="186"/>
      <c r="AX686" s="186"/>
      <c r="AY686" s="186"/>
      <c r="AZ686" s="186"/>
      <c r="BA686" s="186"/>
      <c r="BB686" s="186"/>
      <c r="BC686" s="186"/>
      <c r="BD686" s="186"/>
      <c r="BE686" s="186"/>
      <c r="BF686" s="150"/>
      <c r="BG686" s="150"/>
    </row>
    <row r="687" spans="3:59" ht="14.6">
      <c r="C687" s="289"/>
      <c r="D687" s="150"/>
      <c r="E687" s="150"/>
      <c r="F687" s="150"/>
      <c r="G687" s="150"/>
      <c r="H687" s="150"/>
      <c r="I687" s="150"/>
      <c r="J687" s="150"/>
      <c r="K687" s="150"/>
      <c r="L687" s="150"/>
      <c r="M687" s="150"/>
      <c r="N687" s="150"/>
      <c r="O687" s="150"/>
      <c r="P687" s="150"/>
      <c r="Q687" s="150"/>
      <c r="R687" s="150"/>
      <c r="S687" s="150"/>
      <c r="T687" s="186"/>
      <c r="U687" s="186"/>
      <c r="V687" s="186"/>
      <c r="W687" s="186"/>
      <c r="X687" s="186"/>
      <c r="Y687" s="186"/>
      <c r="Z687" s="186"/>
      <c r="AA687" s="186"/>
      <c r="AB687" s="186"/>
      <c r="AC687" s="186"/>
      <c r="AD687" s="186"/>
      <c r="AF687" s="150"/>
      <c r="AG687" s="150"/>
      <c r="AH687" s="150"/>
      <c r="AI687" s="150"/>
      <c r="AJ687" s="150"/>
      <c r="AK687" s="150"/>
      <c r="AL687" s="150"/>
      <c r="AM687" s="150"/>
      <c r="AN687" s="150"/>
      <c r="AO687" s="150"/>
      <c r="AP687" s="150"/>
      <c r="AQ687" s="150"/>
      <c r="AT687" s="186"/>
      <c r="AU687" s="186"/>
      <c r="AV687" s="186"/>
      <c r="AW687" s="186"/>
      <c r="AX687" s="186"/>
      <c r="AY687" s="186"/>
      <c r="AZ687" s="186"/>
      <c r="BA687" s="186"/>
      <c r="BB687" s="186"/>
      <c r="BC687" s="186"/>
      <c r="BD687" s="186"/>
      <c r="BE687" s="186"/>
      <c r="BF687" s="150"/>
      <c r="BG687" s="150"/>
    </row>
    <row r="688" spans="3:59" ht="14.6">
      <c r="C688" s="289"/>
      <c r="D688" s="150"/>
      <c r="E688" s="150"/>
      <c r="F688" s="150"/>
      <c r="G688" s="150"/>
      <c r="H688" s="150"/>
      <c r="I688" s="150"/>
      <c r="J688" s="150"/>
      <c r="K688" s="150"/>
      <c r="L688" s="150"/>
      <c r="M688" s="150"/>
      <c r="N688" s="150"/>
      <c r="O688" s="150"/>
      <c r="P688" s="150"/>
      <c r="Q688" s="150"/>
      <c r="R688" s="150"/>
      <c r="S688" s="150"/>
      <c r="T688" s="186"/>
      <c r="U688" s="186"/>
      <c r="V688" s="186"/>
      <c r="W688" s="186"/>
      <c r="X688" s="186"/>
      <c r="Y688" s="186"/>
      <c r="Z688" s="186"/>
      <c r="AA688" s="186"/>
      <c r="AB688" s="186"/>
      <c r="AC688" s="186"/>
      <c r="AD688" s="186"/>
      <c r="AF688" s="150"/>
      <c r="AG688" s="150"/>
      <c r="AH688" s="150"/>
      <c r="AI688" s="150"/>
      <c r="AJ688" s="150"/>
      <c r="AK688" s="150"/>
      <c r="AL688" s="150"/>
      <c r="AM688" s="150"/>
      <c r="AN688" s="150"/>
      <c r="AO688" s="150"/>
      <c r="AP688" s="150"/>
      <c r="AQ688" s="150"/>
      <c r="AT688" s="186"/>
      <c r="AU688" s="186"/>
      <c r="AV688" s="186"/>
      <c r="AW688" s="186"/>
      <c r="AX688" s="186"/>
      <c r="AY688" s="186"/>
      <c r="AZ688" s="186"/>
      <c r="BA688" s="186"/>
      <c r="BB688" s="186"/>
      <c r="BC688" s="186"/>
      <c r="BD688" s="186"/>
      <c r="BE688" s="186"/>
      <c r="BF688" s="150"/>
      <c r="BG688" s="150"/>
    </row>
    <row r="689" spans="3:59" ht="14.6">
      <c r="C689" s="289"/>
      <c r="D689" s="150"/>
      <c r="E689" s="150"/>
      <c r="F689" s="150"/>
      <c r="G689" s="150"/>
      <c r="H689" s="150"/>
      <c r="I689" s="150"/>
      <c r="J689" s="150"/>
      <c r="K689" s="150"/>
      <c r="L689" s="150"/>
      <c r="M689" s="150"/>
      <c r="N689" s="150"/>
      <c r="O689" s="150"/>
      <c r="P689" s="150"/>
      <c r="Q689" s="150"/>
      <c r="R689" s="150"/>
      <c r="S689" s="150"/>
      <c r="T689" s="186"/>
      <c r="U689" s="186"/>
      <c r="V689" s="186"/>
      <c r="W689" s="186"/>
      <c r="X689" s="186"/>
      <c r="Y689" s="186"/>
      <c r="Z689" s="186"/>
      <c r="AA689" s="186"/>
      <c r="AB689" s="186"/>
      <c r="AC689" s="186"/>
      <c r="AD689" s="186"/>
      <c r="AF689" s="150"/>
      <c r="AG689" s="150"/>
      <c r="AH689" s="150"/>
      <c r="AI689" s="150"/>
      <c r="AJ689" s="150"/>
      <c r="AK689" s="150"/>
      <c r="AL689" s="150"/>
      <c r="AM689" s="150"/>
      <c r="AN689" s="150"/>
      <c r="AO689" s="150"/>
      <c r="AP689" s="150"/>
      <c r="AQ689" s="150"/>
      <c r="AT689" s="186"/>
      <c r="AU689" s="186"/>
      <c r="AV689" s="186"/>
      <c r="AW689" s="186"/>
      <c r="AX689" s="186"/>
      <c r="AY689" s="186"/>
      <c r="AZ689" s="186"/>
      <c r="BA689" s="186"/>
      <c r="BB689" s="186"/>
      <c r="BC689" s="186"/>
      <c r="BD689" s="186"/>
      <c r="BE689" s="186"/>
      <c r="BF689" s="150"/>
      <c r="BG689" s="150"/>
    </row>
    <row r="690" spans="3:59" ht="14.6">
      <c r="C690" s="289"/>
      <c r="D690" s="150"/>
      <c r="E690" s="150"/>
      <c r="F690" s="150"/>
      <c r="G690" s="150"/>
      <c r="H690" s="150"/>
      <c r="I690" s="150"/>
      <c r="J690" s="150"/>
      <c r="K690" s="150"/>
      <c r="L690" s="150"/>
      <c r="M690" s="150"/>
      <c r="N690" s="150"/>
      <c r="O690" s="150"/>
      <c r="P690" s="150"/>
      <c r="Q690" s="150"/>
      <c r="R690" s="150"/>
      <c r="S690" s="150"/>
      <c r="T690" s="186"/>
      <c r="U690" s="186"/>
      <c r="V690" s="186"/>
      <c r="W690" s="186"/>
      <c r="X690" s="186"/>
      <c r="Y690" s="186"/>
      <c r="Z690" s="186"/>
      <c r="AA690" s="186"/>
      <c r="AB690" s="186"/>
      <c r="AC690" s="186"/>
      <c r="AD690" s="186"/>
      <c r="AF690" s="150"/>
      <c r="AG690" s="150"/>
      <c r="AH690" s="150"/>
      <c r="AI690" s="150"/>
      <c r="AJ690" s="150"/>
      <c r="AK690" s="150"/>
      <c r="AL690" s="150"/>
      <c r="AM690" s="150"/>
      <c r="AN690" s="150"/>
      <c r="AO690" s="150"/>
      <c r="AP690" s="150"/>
      <c r="AQ690" s="150"/>
      <c r="AT690" s="186"/>
      <c r="AU690" s="186"/>
      <c r="AV690" s="186"/>
      <c r="AW690" s="186"/>
      <c r="AX690" s="186"/>
      <c r="AY690" s="186"/>
      <c r="AZ690" s="186"/>
      <c r="BA690" s="186"/>
      <c r="BB690" s="186"/>
      <c r="BC690" s="186"/>
      <c r="BD690" s="186"/>
      <c r="BE690" s="186"/>
      <c r="BF690" s="150"/>
      <c r="BG690" s="150"/>
    </row>
    <row r="691" spans="3:59" ht="14.6">
      <c r="C691" s="289"/>
      <c r="D691" s="150"/>
      <c r="E691" s="150"/>
      <c r="F691" s="150"/>
      <c r="G691" s="150"/>
      <c r="H691" s="150"/>
      <c r="I691" s="150"/>
      <c r="J691" s="150"/>
      <c r="K691" s="150"/>
      <c r="L691" s="150"/>
      <c r="M691" s="150"/>
      <c r="N691" s="150"/>
      <c r="O691" s="150"/>
      <c r="P691" s="150"/>
      <c r="Q691" s="150"/>
      <c r="R691" s="150"/>
      <c r="S691" s="150"/>
      <c r="T691" s="186"/>
      <c r="U691" s="186"/>
      <c r="V691" s="186"/>
      <c r="W691" s="186"/>
      <c r="X691" s="186"/>
      <c r="Y691" s="186"/>
      <c r="Z691" s="186"/>
      <c r="AA691" s="186"/>
      <c r="AB691" s="186"/>
      <c r="AC691" s="186"/>
      <c r="AD691" s="186"/>
      <c r="AF691" s="150"/>
      <c r="AG691" s="150"/>
      <c r="AH691" s="150"/>
      <c r="AI691" s="150"/>
      <c r="AJ691" s="150"/>
      <c r="AK691" s="150"/>
      <c r="AL691" s="150"/>
      <c r="AM691" s="150"/>
      <c r="AN691" s="150"/>
      <c r="AO691" s="150"/>
      <c r="AP691" s="150"/>
      <c r="AQ691" s="150"/>
      <c r="AT691" s="186"/>
      <c r="AU691" s="186"/>
      <c r="AV691" s="186"/>
      <c r="AW691" s="186"/>
      <c r="AX691" s="186"/>
      <c r="AY691" s="186"/>
      <c r="AZ691" s="186"/>
      <c r="BA691" s="186"/>
      <c r="BB691" s="186"/>
      <c r="BC691" s="186"/>
      <c r="BD691" s="186"/>
      <c r="BE691" s="186"/>
      <c r="BF691" s="150"/>
      <c r="BG691" s="150"/>
    </row>
    <row r="692" spans="3:59" ht="14.6">
      <c r="C692" s="289"/>
      <c r="D692" s="150"/>
      <c r="E692" s="150"/>
      <c r="F692" s="150"/>
      <c r="G692" s="150"/>
      <c r="H692" s="150"/>
      <c r="I692" s="150"/>
      <c r="J692" s="150"/>
      <c r="K692" s="150"/>
      <c r="L692" s="150"/>
      <c r="M692" s="150"/>
      <c r="N692" s="150"/>
      <c r="O692" s="150"/>
      <c r="P692" s="150"/>
      <c r="Q692" s="150"/>
      <c r="R692" s="150"/>
      <c r="S692" s="150"/>
      <c r="T692" s="186"/>
      <c r="U692" s="186"/>
      <c r="V692" s="186"/>
      <c r="W692" s="186"/>
      <c r="X692" s="186"/>
      <c r="Y692" s="186"/>
      <c r="Z692" s="186"/>
      <c r="AA692" s="186"/>
      <c r="AB692" s="186"/>
      <c r="AC692" s="186"/>
      <c r="AD692" s="186"/>
      <c r="AF692" s="150"/>
      <c r="AG692" s="150"/>
      <c r="AH692" s="150"/>
      <c r="AI692" s="150"/>
      <c r="AJ692" s="150"/>
      <c r="AK692" s="150"/>
      <c r="AL692" s="150"/>
      <c r="AM692" s="150"/>
      <c r="AN692" s="150"/>
      <c r="AO692" s="150"/>
      <c r="AP692" s="150"/>
      <c r="AQ692" s="150"/>
      <c r="AT692" s="186"/>
      <c r="AU692" s="186"/>
      <c r="AV692" s="186"/>
      <c r="AW692" s="186"/>
      <c r="AX692" s="186"/>
      <c r="AY692" s="186"/>
      <c r="AZ692" s="186"/>
      <c r="BA692" s="186"/>
      <c r="BB692" s="186"/>
      <c r="BC692" s="186"/>
      <c r="BD692" s="186"/>
      <c r="BE692" s="186"/>
      <c r="BF692" s="150"/>
      <c r="BG692" s="150"/>
    </row>
    <row r="693" spans="3:59" ht="14.6">
      <c r="C693" s="289"/>
      <c r="D693" s="150"/>
      <c r="E693" s="150"/>
      <c r="F693" s="150"/>
      <c r="G693" s="150"/>
      <c r="H693" s="150"/>
      <c r="I693" s="150"/>
      <c r="J693" s="150"/>
      <c r="K693" s="150"/>
      <c r="L693" s="150"/>
      <c r="M693" s="150"/>
      <c r="N693" s="150"/>
      <c r="O693" s="150"/>
      <c r="P693" s="150"/>
      <c r="Q693" s="150"/>
      <c r="R693" s="150"/>
      <c r="S693" s="150"/>
      <c r="T693" s="186"/>
      <c r="U693" s="186"/>
      <c r="V693" s="186"/>
      <c r="W693" s="186"/>
      <c r="X693" s="186"/>
      <c r="Y693" s="186"/>
      <c r="Z693" s="186"/>
      <c r="AA693" s="186"/>
      <c r="AB693" s="186"/>
      <c r="AC693" s="186"/>
      <c r="AD693" s="186"/>
      <c r="AF693" s="150"/>
      <c r="AG693" s="150"/>
      <c r="AH693" s="150"/>
      <c r="AI693" s="150"/>
      <c r="AJ693" s="150"/>
      <c r="AK693" s="150"/>
      <c r="AL693" s="150"/>
      <c r="AM693" s="150"/>
      <c r="AN693" s="150"/>
      <c r="AO693" s="150"/>
      <c r="AP693" s="150"/>
      <c r="AQ693" s="150"/>
      <c r="AT693" s="186"/>
      <c r="AU693" s="186"/>
      <c r="AV693" s="186"/>
      <c r="AW693" s="186"/>
      <c r="AX693" s="186"/>
      <c r="AY693" s="186"/>
      <c r="AZ693" s="186"/>
      <c r="BA693" s="186"/>
      <c r="BB693" s="186"/>
      <c r="BC693" s="186"/>
      <c r="BD693" s="186"/>
      <c r="BE693" s="186"/>
      <c r="BF693" s="150"/>
      <c r="BG693" s="150"/>
    </row>
    <row r="694" spans="3:59" ht="14.6">
      <c r="C694" s="289"/>
      <c r="D694" s="150"/>
      <c r="E694" s="150"/>
      <c r="F694" s="150"/>
      <c r="G694" s="150"/>
      <c r="H694" s="150"/>
      <c r="I694" s="150"/>
      <c r="J694" s="150"/>
      <c r="K694" s="150"/>
      <c r="L694" s="150"/>
      <c r="M694" s="150"/>
      <c r="N694" s="150"/>
      <c r="O694" s="150"/>
      <c r="P694" s="150"/>
      <c r="Q694" s="150"/>
      <c r="R694" s="150"/>
      <c r="S694" s="150"/>
      <c r="T694" s="186"/>
      <c r="U694" s="186"/>
      <c r="V694" s="186"/>
      <c r="W694" s="186"/>
      <c r="X694" s="186"/>
      <c r="Y694" s="186"/>
      <c r="Z694" s="186"/>
      <c r="AA694" s="186"/>
      <c r="AB694" s="186"/>
      <c r="AC694" s="186"/>
      <c r="AD694" s="186"/>
      <c r="AF694" s="150"/>
      <c r="AG694" s="150"/>
      <c r="AH694" s="150"/>
      <c r="AI694" s="150"/>
      <c r="AJ694" s="150"/>
      <c r="AK694" s="150"/>
      <c r="AL694" s="150"/>
      <c r="AM694" s="150"/>
      <c r="AN694" s="150"/>
      <c r="AO694" s="150"/>
      <c r="AP694" s="150"/>
      <c r="AQ694" s="150"/>
      <c r="AT694" s="186"/>
      <c r="AU694" s="186"/>
      <c r="AV694" s="186"/>
      <c r="AW694" s="186"/>
      <c r="AX694" s="186"/>
      <c r="AY694" s="186"/>
      <c r="AZ694" s="186"/>
      <c r="BA694" s="186"/>
      <c r="BB694" s="186"/>
      <c r="BC694" s="186"/>
      <c r="BD694" s="186"/>
      <c r="BE694" s="186"/>
      <c r="BF694" s="150"/>
      <c r="BG694" s="150"/>
    </row>
    <row r="695" spans="3:59" ht="14.6">
      <c r="C695" s="289"/>
      <c r="D695" s="150"/>
      <c r="E695" s="150"/>
      <c r="F695" s="150"/>
      <c r="G695" s="150"/>
      <c r="H695" s="150"/>
      <c r="I695" s="150"/>
      <c r="J695" s="150"/>
      <c r="K695" s="150"/>
      <c r="L695" s="150"/>
      <c r="M695" s="150"/>
      <c r="N695" s="150"/>
      <c r="O695" s="150"/>
      <c r="P695" s="150"/>
      <c r="Q695" s="150"/>
      <c r="R695" s="150"/>
      <c r="S695" s="150"/>
      <c r="T695" s="186"/>
      <c r="U695" s="186"/>
      <c r="V695" s="186"/>
      <c r="W695" s="186"/>
      <c r="X695" s="186"/>
      <c r="Y695" s="186"/>
      <c r="Z695" s="186"/>
      <c r="AA695" s="186"/>
      <c r="AB695" s="186"/>
      <c r="AC695" s="186"/>
      <c r="AD695" s="186"/>
      <c r="AF695" s="150"/>
      <c r="AG695" s="150"/>
      <c r="AH695" s="150"/>
      <c r="AI695" s="150"/>
      <c r="AJ695" s="150"/>
      <c r="AK695" s="150"/>
      <c r="AL695" s="150"/>
      <c r="AM695" s="150"/>
      <c r="AN695" s="150"/>
      <c r="AO695" s="150"/>
      <c r="AP695" s="150"/>
      <c r="AQ695" s="150"/>
      <c r="AT695" s="186"/>
      <c r="AU695" s="186"/>
      <c r="AV695" s="186"/>
      <c r="AW695" s="186"/>
      <c r="AX695" s="186"/>
      <c r="AY695" s="186"/>
      <c r="AZ695" s="186"/>
      <c r="BA695" s="186"/>
      <c r="BB695" s="186"/>
      <c r="BC695" s="186"/>
      <c r="BD695" s="186"/>
      <c r="BE695" s="186"/>
      <c r="BF695" s="150"/>
      <c r="BG695" s="150"/>
    </row>
    <row r="696" spans="3:59" ht="14.6">
      <c r="C696" s="289"/>
      <c r="D696" s="150"/>
      <c r="E696" s="150"/>
      <c r="F696" s="150"/>
      <c r="G696" s="150"/>
      <c r="H696" s="150"/>
      <c r="I696" s="150"/>
      <c r="J696" s="150"/>
      <c r="K696" s="150"/>
      <c r="L696" s="150"/>
      <c r="M696" s="150"/>
      <c r="N696" s="150"/>
      <c r="O696" s="150"/>
      <c r="P696" s="150"/>
      <c r="Q696" s="150"/>
      <c r="R696" s="150"/>
      <c r="S696" s="150"/>
      <c r="T696" s="186"/>
      <c r="U696" s="186"/>
      <c r="V696" s="186"/>
      <c r="W696" s="186"/>
      <c r="X696" s="186"/>
      <c r="Y696" s="186"/>
      <c r="Z696" s="186"/>
      <c r="AA696" s="186"/>
      <c r="AB696" s="186"/>
      <c r="AC696" s="186"/>
      <c r="AD696" s="186"/>
      <c r="AF696" s="150"/>
      <c r="AG696" s="150"/>
      <c r="AH696" s="150"/>
      <c r="AI696" s="150"/>
      <c r="AJ696" s="150"/>
      <c r="AK696" s="150"/>
      <c r="AL696" s="150"/>
      <c r="AM696" s="150"/>
      <c r="AN696" s="150"/>
      <c r="AO696" s="150"/>
      <c r="AP696" s="150"/>
      <c r="AQ696" s="150"/>
      <c r="AT696" s="186"/>
      <c r="AU696" s="186"/>
      <c r="AV696" s="186"/>
      <c r="AW696" s="186"/>
      <c r="AX696" s="186"/>
      <c r="AY696" s="186"/>
      <c r="AZ696" s="186"/>
      <c r="BA696" s="186"/>
      <c r="BB696" s="186"/>
      <c r="BC696" s="186"/>
      <c r="BD696" s="186"/>
      <c r="BE696" s="186"/>
      <c r="BF696" s="150"/>
      <c r="BG696" s="150"/>
    </row>
    <row r="697" spans="3:59" ht="14.6">
      <c r="C697" s="289"/>
      <c r="D697" s="150"/>
      <c r="E697" s="150"/>
      <c r="F697" s="150"/>
      <c r="G697" s="150"/>
      <c r="H697" s="150"/>
      <c r="I697" s="150"/>
      <c r="J697" s="150"/>
      <c r="K697" s="150"/>
      <c r="L697" s="150"/>
      <c r="M697" s="150"/>
      <c r="N697" s="150"/>
      <c r="O697" s="150"/>
      <c r="P697" s="150"/>
      <c r="Q697" s="150"/>
      <c r="R697" s="150"/>
      <c r="S697" s="150"/>
      <c r="T697" s="186"/>
      <c r="U697" s="186"/>
      <c r="V697" s="186"/>
      <c r="W697" s="186"/>
      <c r="X697" s="186"/>
      <c r="Y697" s="186"/>
      <c r="Z697" s="186"/>
      <c r="AA697" s="186"/>
      <c r="AB697" s="186"/>
      <c r="AC697" s="186"/>
      <c r="AD697" s="186"/>
      <c r="AF697" s="150"/>
      <c r="AG697" s="150"/>
      <c r="AH697" s="150"/>
      <c r="AI697" s="150"/>
      <c r="AJ697" s="150"/>
      <c r="AK697" s="150"/>
      <c r="AL697" s="150"/>
      <c r="AM697" s="150"/>
      <c r="AN697" s="150"/>
      <c r="AO697" s="150"/>
      <c r="AP697" s="150"/>
      <c r="AQ697" s="150"/>
      <c r="AT697" s="186"/>
      <c r="AU697" s="186"/>
      <c r="AV697" s="186"/>
      <c r="AW697" s="186"/>
      <c r="AX697" s="186"/>
      <c r="AY697" s="186"/>
      <c r="AZ697" s="186"/>
      <c r="BA697" s="186"/>
      <c r="BB697" s="186"/>
      <c r="BC697" s="186"/>
      <c r="BD697" s="186"/>
      <c r="BE697" s="186"/>
      <c r="BF697" s="150"/>
      <c r="BG697" s="150"/>
    </row>
    <row r="698" spans="3:59" ht="14.6">
      <c r="C698" s="289"/>
      <c r="D698" s="150"/>
      <c r="E698" s="150"/>
      <c r="F698" s="150"/>
      <c r="G698" s="150"/>
      <c r="H698" s="150"/>
      <c r="I698" s="150"/>
      <c r="J698" s="150"/>
      <c r="K698" s="150"/>
      <c r="L698" s="150"/>
      <c r="M698" s="150"/>
      <c r="N698" s="150"/>
      <c r="O698" s="150"/>
      <c r="P698" s="150"/>
      <c r="Q698" s="150"/>
      <c r="R698" s="150"/>
      <c r="S698" s="150"/>
      <c r="T698" s="186"/>
      <c r="U698" s="186"/>
      <c r="V698" s="186"/>
      <c r="W698" s="186"/>
      <c r="X698" s="186"/>
      <c r="Y698" s="186"/>
      <c r="Z698" s="186"/>
      <c r="AA698" s="186"/>
      <c r="AB698" s="186"/>
      <c r="AC698" s="186"/>
      <c r="AD698" s="186"/>
      <c r="AF698" s="150"/>
      <c r="AG698" s="150"/>
      <c r="AH698" s="150"/>
      <c r="AI698" s="150"/>
      <c r="AJ698" s="150"/>
      <c r="AK698" s="150"/>
      <c r="AL698" s="150"/>
      <c r="AM698" s="150"/>
      <c r="AN698" s="150"/>
      <c r="AO698" s="150"/>
      <c r="AP698" s="150"/>
      <c r="AQ698" s="150"/>
      <c r="AT698" s="186"/>
      <c r="AU698" s="186"/>
      <c r="AV698" s="186"/>
      <c r="AW698" s="186"/>
      <c r="AX698" s="186"/>
      <c r="AY698" s="186"/>
      <c r="AZ698" s="186"/>
      <c r="BA698" s="186"/>
      <c r="BB698" s="186"/>
      <c r="BC698" s="186"/>
      <c r="BD698" s="186"/>
      <c r="BE698" s="186"/>
      <c r="BF698" s="150"/>
      <c r="BG698" s="150"/>
    </row>
    <row r="699" spans="3:59" ht="14.6">
      <c r="C699" s="289"/>
      <c r="D699" s="150"/>
      <c r="E699" s="150"/>
      <c r="F699" s="150"/>
      <c r="G699" s="150"/>
      <c r="H699" s="150"/>
      <c r="I699" s="150"/>
      <c r="J699" s="150"/>
      <c r="K699" s="150"/>
      <c r="L699" s="150"/>
      <c r="M699" s="150"/>
      <c r="N699" s="150"/>
      <c r="O699" s="150"/>
      <c r="P699" s="150"/>
      <c r="Q699" s="150"/>
      <c r="R699" s="150"/>
      <c r="S699" s="150"/>
      <c r="T699" s="186"/>
      <c r="U699" s="186"/>
      <c r="V699" s="186"/>
      <c r="W699" s="186"/>
      <c r="X699" s="186"/>
      <c r="Y699" s="186"/>
      <c r="Z699" s="186"/>
      <c r="AA699" s="186"/>
      <c r="AB699" s="186"/>
      <c r="AC699" s="186"/>
      <c r="AD699" s="186"/>
      <c r="AF699" s="150"/>
      <c r="AG699" s="150"/>
      <c r="AH699" s="150"/>
      <c r="AI699" s="150"/>
      <c r="AJ699" s="150"/>
      <c r="AK699" s="150"/>
      <c r="AL699" s="150"/>
      <c r="AM699" s="150"/>
      <c r="AN699" s="150"/>
      <c r="AO699" s="150"/>
      <c r="AP699" s="150"/>
      <c r="AQ699" s="150"/>
      <c r="AT699" s="186"/>
      <c r="AU699" s="186"/>
      <c r="AV699" s="186"/>
      <c r="AW699" s="186"/>
      <c r="AX699" s="186"/>
      <c r="AY699" s="186"/>
      <c r="AZ699" s="186"/>
      <c r="BA699" s="186"/>
      <c r="BB699" s="186"/>
      <c r="BC699" s="186"/>
      <c r="BD699" s="186"/>
      <c r="BE699" s="186"/>
      <c r="BF699" s="150"/>
      <c r="BG699" s="150"/>
    </row>
    <row r="700" spans="3:59" ht="14.6">
      <c r="C700" s="289"/>
      <c r="D700" s="150"/>
      <c r="E700" s="150"/>
      <c r="F700" s="150"/>
      <c r="G700" s="150"/>
      <c r="H700" s="150"/>
      <c r="I700" s="150"/>
      <c r="J700" s="150"/>
      <c r="K700" s="150"/>
      <c r="L700" s="150"/>
      <c r="M700" s="150"/>
      <c r="N700" s="150"/>
      <c r="O700" s="150"/>
      <c r="P700" s="150"/>
      <c r="Q700" s="150"/>
      <c r="R700" s="150"/>
      <c r="S700" s="150"/>
      <c r="T700" s="186"/>
      <c r="U700" s="186"/>
      <c r="V700" s="186"/>
      <c r="W700" s="186"/>
      <c r="X700" s="186"/>
      <c r="Y700" s="186"/>
      <c r="Z700" s="186"/>
      <c r="AA700" s="186"/>
      <c r="AB700" s="186"/>
      <c r="AC700" s="186"/>
      <c r="AD700" s="186"/>
      <c r="AF700" s="150"/>
      <c r="AG700" s="150"/>
      <c r="AH700" s="150"/>
      <c r="AI700" s="150"/>
      <c r="AJ700" s="150"/>
      <c r="AK700" s="150"/>
      <c r="AL700" s="150"/>
      <c r="AM700" s="150"/>
      <c r="AN700" s="150"/>
      <c r="AO700" s="150"/>
      <c r="AP700" s="150"/>
      <c r="AQ700" s="150"/>
      <c r="AT700" s="186"/>
      <c r="AU700" s="186"/>
      <c r="AV700" s="186"/>
      <c r="AW700" s="186"/>
      <c r="AX700" s="186"/>
      <c r="AY700" s="186"/>
      <c r="AZ700" s="186"/>
      <c r="BA700" s="186"/>
      <c r="BB700" s="186"/>
      <c r="BC700" s="186"/>
      <c r="BD700" s="186"/>
      <c r="BE700" s="186"/>
      <c r="BF700" s="150"/>
      <c r="BG700" s="150"/>
    </row>
    <row r="701" spans="3:59" ht="14.6">
      <c r="C701" s="289"/>
      <c r="D701" s="150"/>
      <c r="E701" s="150"/>
      <c r="F701" s="150"/>
      <c r="G701" s="150"/>
      <c r="H701" s="150"/>
      <c r="I701" s="150"/>
      <c r="J701" s="150"/>
      <c r="K701" s="150"/>
      <c r="L701" s="150"/>
      <c r="M701" s="150"/>
      <c r="N701" s="150"/>
      <c r="O701" s="150"/>
      <c r="P701" s="150"/>
      <c r="Q701" s="150"/>
      <c r="R701" s="150"/>
      <c r="S701" s="150"/>
      <c r="T701" s="186"/>
      <c r="U701" s="186"/>
      <c r="V701" s="186"/>
      <c r="W701" s="186"/>
      <c r="X701" s="186"/>
      <c r="Y701" s="186"/>
      <c r="Z701" s="186"/>
      <c r="AA701" s="186"/>
      <c r="AB701" s="186"/>
      <c r="AC701" s="186"/>
      <c r="AD701" s="186"/>
      <c r="AF701" s="150"/>
      <c r="AG701" s="150"/>
      <c r="AH701" s="150"/>
      <c r="AI701" s="150"/>
      <c r="AJ701" s="150"/>
      <c r="AK701" s="150"/>
      <c r="AL701" s="150"/>
      <c r="AM701" s="150"/>
      <c r="AN701" s="150"/>
      <c r="AO701" s="150"/>
      <c r="AP701" s="150"/>
      <c r="AQ701" s="150"/>
      <c r="AT701" s="186"/>
      <c r="AU701" s="186"/>
      <c r="AV701" s="186"/>
      <c r="AW701" s="186"/>
      <c r="AX701" s="186"/>
      <c r="AY701" s="186"/>
      <c r="AZ701" s="186"/>
      <c r="BA701" s="186"/>
      <c r="BB701" s="186"/>
      <c r="BC701" s="186"/>
      <c r="BD701" s="186"/>
      <c r="BE701" s="186"/>
      <c r="BF701" s="150"/>
      <c r="BG701" s="150"/>
    </row>
    <row r="702" spans="3:59" ht="14.6">
      <c r="C702" s="289"/>
      <c r="D702" s="150"/>
      <c r="E702" s="150"/>
      <c r="F702" s="150"/>
      <c r="G702" s="150"/>
      <c r="H702" s="150"/>
      <c r="I702" s="150"/>
      <c r="J702" s="150"/>
      <c r="K702" s="150"/>
      <c r="L702" s="150"/>
      <c r="M702" s="150"/>
      <c r="N702" s="150"/>
      <c r="O702" s="150"/>
      <c r="P702" s="150"/>
      <c r="Q702" s="150"/>
      <c r="R702" s="150"/>
      <c r="S702" s="150"/>
      <c r="T702" s="186"/>
      <c r="U702" s="186"/>
      <c r="V702" s="186"/>
      <c r="W702" s="186"/>
      <c r="X702" s="186"/>
      <c r="Y702" s="186"/>
      <c r="Z702" s="186"/>
      <c r="AA702" s="186"/>
      <c r="AB702" s="186"/>
      <c r="AC702" s="186"/>
      <c r="AD702" s="186"/>
      <c r="AF702" s="150"/>
      <c r="AG702" s="150"/>
      <c r="AH702" s="150"/>
      <c r="AI702" s="150"/>
      <c r="AJ702" s="150"/>
      <c r="AK702" s="150"/>
      <c r="AL702" s="150"/>
      <c r="AM702" s="150"/>
      <c r="AN702" s="150"/>
      <c r="AO702" s="150"/>
      <c r="AP702" s="150"/>
      <c r="AQ702" s="150"/>
      <c r="AT702" s="186"/>
      <c r="AU702" s="186"/>
      <c r="AV702" s="186"/>
      <c r="AW702" s="186"/>
      <c r="AX702" s="186"/>
      <c r="AY702" s="186"/>
      <c r="AZ702" s="186"/>
      <c r="BA702" s="186"/>
      <c r="BB702" s="186"/>
      <c r="BC702" s="186"/>
      <c r="BD702" s="186"/>
      <c r="BE702" s="186"/>
      <c r="BF702" s="150"/>
      <c r="BG702" s="150"/>
    </row>
    <row r="703" spans="3:59" ht="14.6">
      <c r="C703" s="289"/>
      <c r="D703" s="150"/>
      <c r="E703" s="150"/>
      <c r="F703" s="150"/>
      <c r="G703" s="150"/>
      <c r="H703" s="150"/>
      <c r="I703" s="150"/>
      <c r="J703" s="150"/>
      <c r="K703" s="150"/>
      <c r="L703" s="150"/>
      <c r="M703" s="150"/>
      <c r="N703" s="150"/>
      <c r="O703" s="150"/>
      <c r="P703" s="150"/>
      <c r="Q703" s="150"/>
      <c r="R703" s="150"/>
      <c r="S703" s="150"/>
      <c r="T703" s="186"/>
      <c r="U703" s="186"/>
      <c r="V703" s="186"/>
      <c r="W703" s="186"/>
      <c r="X703" s="186"/>
      <c r="Y703" s="186"/>
      <c r="Z703" s="186"/>
      <c r="AA703" s="186"/>
      <c r="AB703" s="186"/>
      <c r="AC703" s="186"/>
      <c r="AD703" s="186"/>
      <c r="AF703" s="150"/>
      <c r="AG703" s="150"/>
      <c r="AH703" s="150"/>
      <c r="AI703" s="150"/>
      <c r="AJ703" s="150"/>
      <c r="AK703" s="150"/>
      <c r="AL703" s="150"/>
      <c r="AM703" s="150"/>
      <c r="AN703" s="150"/>
      <c r="AO703" s="150"/>
      <c r="AP703" s="150"/>
      <c r="AQ703" s="150"/>
      <c r="AT703" s="186"/>
      <c r="AU703" s="186"/>
      <c r="AV703" s="186"/>
      <c r="AW703" s="186"/>
      <c r="AX703" s="186"/>
      <c r="AY703" s="186"/>
      <c r="AZ703" s="186"/>
      <c r="BA703" s="186"/>
      <c r="BB703" s="186"/>
      <c r="BC703" s="186"/>
      <c r="BD703" s="186"/>
      <c r="BE703" s="186"/>
      <c r="BF703" s="150"/>
      <c r="BG703" s="150"/>
    </row>
    <row r="704" spans="3:59" ht="14.6">
      <c r="C704" s="289"/>
      <c r="D704" s="150"/>
      <c r="E704" s="150"/>
      <c r="F704" s="150"/>
      <c r="G704" s="150"/>
      <c r="H704" s="150"/>
      <c r="I704" s="150"/>
      <c r="J704" s="150"/>
      <c r="K704" s="150"/>
      <c r="L704" s="150"/>
      <c r="M704" s="150"/>
      <c r="N704" s="150"/>
      <c r="O704" s="150"/>
      <c r="P704" s="150"/>
      <c r="Q704" s="150"/>
      <c r="R704" s="150"/>
      <c r="S704" s="150"/>
      <c r="T704" s="186"/>
      <c r="U704" s="186"/>
      <c r="V704" s="186"/>
      <c r="W704" s="186"/>
      <c r="X704" s="186"/>
      <c r="Y704" s="186"/>
      <c r="Z704" s="186"/>
      <c r="AA704" s="186"/>
      <c r="AB704" s="186"/>
      <c r="AC704" s="186"/>
      <c r="AD704" s="186"/>
      <c r="AF704" s="150"/>
      <c r="AG704" s="150"/>
      <c r="AH704" s="150"/>
      <c r="AI704" s="150"/>
      <c r="AJ704" s="150"/>
      <c r="AK704" s="150"/>
      <c r="AL704" s="150"/>
      <c r="AM704" s="150"/>
      <c r="AN704" s="150"/>
      <c r="AO704" s="150"/>
      <c r="AP704" s="150"/>
      <c r="AQ704" s="150"/>
      <c r="AT704" s="186"/>
      <c r="AU704" s="186"/>
      <c r="AV704" s="186"/>
      <c r="AW704" s="186"/>
      <c r="AX704" s="186"/>
      <c r="AY704" s="186"/>
      <c r="AZ704" s="186"/>
      <c r="BA704" s="186"/>
      <c r="BB704" s="186"/>
      <c r="BC704" s="186"/>
      <c r="BD704" s="186"/>
      <c r="BE704" s="186"/>
      <c r="BF704" s="150"/>
      <c r="BG704" s="150"/>
    </row>
    <row r="705" spans="3:59" ht="14.6">
      <c r="C705" s="289"/>
      <c r="D705" s="150"/>
      <c r="E705" s="150"/>
      <c r="F705" s="150"/>
      <c r="G705" s="150"/>
      <c r="H705" s="150"/>
      <c r="I705" s="150"/>
      <c r="J705" s="150"/>
      <c r="K705" s="150"/>
      <c r="L705" s="150"/>
      <c r="M705" s="150"/>
      <c r="N705" s="150"/>
      <c r="O705" s="150"/>
      <c r="P705" s="150"/>
      <c r="Q705" s="150"/>
      <c r="R705" s="150"/>
      <c r="S705" s="150"/>
      <c r="T705" s="186"/>
      <c r="U705" s="186"/>
      <c r="V705" s="186"/>
      <c r="W705" s="186"/>
      <c r="X705" s="186"/>
      <c r="Y705" s="186"/>
      <c r="Z705" s="186"/>
      <c r="AA705" s="186"/>
      <c r="AB705" s="186"/>
      <c r="AC705" s="186"/>
      <c r="AD705" s="186"/>
      <c r="AF705" s="150"/>
      <c r="AG705" s="150"/>
      <c r="AH705" s="150"/>
      <c r="AI705" s="150"/>
      <c r="AJ705" s="150"/>
      <c r="AK705" s="150"/>
      <c r="AL705" s="150"/>
      <c r="AM705" s="150"/>
      <c r="AN705" s="150"/>
      <c r="AO705" s="150"/>
      <c r="AP705" s="150"/>
      <c r="AQ705" s="150"/>
      <c r="AT705" s="186"/>
      <c r="AU705" s="186"/>
      <c r="AV705" s="186"/>
      <c r="AW705" s="186"/>
      <c r="AX705" s="186"/>
      <c r="AY705" s="186"/>
      <c r="AZ705" s="186"/>
      <c r="BA705" s="186"/>
      <c r="BB705" s="186"/>
      <c r="BC705" s="186"/>
      <c r="BD705" s="186"/>
      <c r="BE705" s="186"/>
      <c r="BF705" s="150"/>
      <c r="BG705" s="150"/>
    </row>
    <row r="706" spans="3:59" ht="14.6">
      <c r="C706" s="289"/>
      <c r="D706" s="150"/>
      <c r="E706" s="150"/>
      <c r="F706" s="150"/>
      <c r="G706" s="150"/>
      <c r="H706" s="150"/>
      <c r="I706" s="150"/>
      <c r="J706" s="150"/>
      <c r="K706" s="150"/>
      <c r="L706" s="150"/>
      <c r="M706" s="150"/>
      <c r="N706" s="150"/>
      <c r="O706" s="150"/>
      <c r="P706" s="150"/>
      <c r="Q706" s="150"/>
      <c r="R706" s="150"/>
      <c r="S706" s="150"/>
      <c r="T706" s="186"/>
      <c r="U706" s="186"/>
      <c r="V706" s="186"/>
      <c r="W706" s="186"/>
      <c r="X706" s="186"/>
      <c r="Y706" s="186"/>
      <c r="Z706" s="186"/>
      <c r="AA706" s="186"/>
      <c r="AB706" s="186"/>
      <c r="AC706" s="186"/>
      <c r="AD706" s="186"/>
      <c r="AF706" s="150"/>
      <c r="AG706" s="150"/>
      <c r="AH706" s="150"/>
      <c r="AI706" s="150"/>
      <c r="AJ706" s="150"/>
      <c r="AK706" s="150"/>
      <c r="AL706" s="150"/>
      <c r="AM706" s="150"/>
      <c r="AN706" s="150"/>
      <c r="AO706" s="150"/>
      <c r="AP706" s="150"/>
      <c r="AQ706" s="150"/>
      <c r="AT706" s="186"/>
      <c r="AU706" s="186"/>
      <c r="AV706" s="186"/>
      <c r="AW706" s="186"/>
      <c r="AX706" s="186"/>
      <c r="AY706" s="186"/>
      <c r="AZ706" s="186"/>
      <c r="BA706" s="186"/>
      <c r="BB706" s="186"/>
      <c r="BC706" s="186"/>
      <c r="BD706" s="186"/>
      <c r="BE706" s="186"/>
      <c r="BF706" s="150"/>
      <c r="BG706" s="150"/>
    </row>
    <row r="707" spans="3:59" ht="14.6">
      <c r="C707" s="289"/>
      <c r="D707" s="150"/>
      <c r="E707" s="150"/>
      <c r="F707" s="150"/>
      <c r="G707" s="150"/>
      <c r="H707" s="150"/>
      <c r="I707" s="150"/>
      <c r="J707" s="150"/>
      <c r="K707" s="150"/>
      <c r="L707" s="150"/>
      <c r="M707" s="150"/>
      <c r="N707" s="150"/>
      <c r="O707" s="150"/>
      <c r="P707" s="150"/>
      <c r="Q707" s="150"/>
      <c r="R707" s="150"/>
      <c r="S707" s="150"/>
      <c r="T707" s="186"/>
      <c r="U707" s="186"/>
      <c r="V707" s="186"/>
      <c r="W707" s="186"/>
      <c r="X707" s="186"/>
      <c r="Y707" s="186"/>
      <c r="Z707" s="186"/>
      <c r="AA707" s="186"/>
      <c r="AB707" s="186"/>
      <c r="AC707" s="186"/>
      <c r="AD707" s="186"/>
      <c r="AF707" s="150"/>
      <c r="AG707" s="150"/>
      <c r="AH707" s="150"/>
      <c r="AI707" s="150"/>
      <c r="AJ707" s="150"/>
      <c r="AK707" s="150"/>
      <c r="AL707" s="150"/>
      <c r="AM707" s="150"/>
      <c r="AN707" s="150"/>
      <c r="AO707" s="150"/>
      <c r="AP707" s="150"/>
      <c r="AQ707" s="150"/>
      <c r="AT707" s="186"/>
      <c r="AU707" s="186"/>
      <c r="AV707" s="186"/>
      <c r="AW707" s="186"/>
      <c r="AX707" s="186"/>
      <c r="AY707" s="186"/>
      <c r="AZ707" s="186"/>
      <c r="BA707" s="186"/>
      <c r="BB707" s="186"/>
      <c r="BC707" s="186"/>
      <c r="BD707" s="186"/>
      <c r="BE707" s="186"/>
      <c r="BF707" s="150"/>
      <c r="BG707" s="150"/>
    </row>
    <row r="708" spans="3:59" ht="14.6">
      <c r="C708" s="289"/>
      <c r="D708" s="150"/>
      <c r="E708" s="150"/>
      <c r="F708" s="150"/>
      <c r="G708" s="150"/>
      <c r="H708" s="150"/>
      <c r="I708" s="150"/>
      <c r="J708" s="150"/>
      <c r="K708" s="150"/>
      <c r="L708" s="150"/>
      <c r="M708" s="150"/>
      <c r="N708" s="150"/>
      <c r="O708" s="150"/>
      <c r="P708" s="150"/>
      <c r="Q708" s="150"/>
      <c r="R708" s="150"/>
      <c r="S708" s="150"/>
      <c r="T708" s="186"/>
      <c r="U708" s="186"/>
      <c r="V708" s="186"/>
      <c r="W708" s="186"/>
      <c r="X708" s="186"/>
      <c r="Y708" s="186"/>
      <c r="Z708" s="186"/>
      <c r="AA708" s="186"/>
      <c r="AB708" s="186"/>
      <c r="AC708" s="186"/>
      <c r="AD708" s="186"/>
      <c r="AF708" s="150"/>
      <c r="AG708" s="150"/>
      <c r="AH708" s="150"/>
      <c r="AI708" s="150"/>
      <c r="AJ708" s="150"/>
      <c r="AK708" s="150"/>
      <c r="AL708" s="150"/>
      <c r="AM708" s="150"/>
      <c r="AN708" s="150"/>
      <c r="AO708" s="150"/>
      <c r="AP708" s="150"/>
      <c r="AQ708" s="150"/>
      <c r="AT708" s="186"/>
      <c r="AU708" s="186"/>
      <c r="AV708" s="186"/>
      <c r="AW708" s="186"/>
      <c r="AX708" s="186"/>
      <c r="AY708" s="186"/>
      <c r="AZ708" s="186"/>
      <c r="BA708" s="186"/>
      <c r="BB708" s="186"/>
      <c r="BC708" s="186"/>
      <c r="BD708" s="186"/>
      <c r="BE708" s="186"/>
      <c r="BF708" s="150"/>
      <c r="BG708" s="150"/>
    </row>
    <row r="709" spans="3:59" ht="14.6">
      <c r="C709" s="289"/>
      <c r="D709" s="150"/>
      <c r="E709" s="150"/>
      <c r="F709" s="150"/>
      <c r="G709" s="150"/>
      <c r="H709" s="150"/>
      <c r="I709" s="150"/>
      <c r="J709" s="150"/>
      <c r="K709" s="150"/>
      <c r="L709" s="150"/>
      <c r="M709" s="150"/>
      <c r="N709" s="150"/>
      <c r="O709" s="150"/>
      <c r="P709" s="150"/>
      <c r="Q709" s="150"/>
      <c r="R709" s="150"/>
      <c r="S709" s="150"/>
      <c r="T709" s="186"/>
      <c r="U709" s="186"/>
      <c r="V709" s="186"/>
      <c r="W709" s="186"/>
      <c r="X709" s="186"/>
      <c r="Y709" s="186"/>
      <c r="Z709" s="186"/>
      <c r="AA709" s="186"/>
      <c r="AB709" s="186"/>
      <c r="AC709" s="186"/>
      <c r="AD709" s="186"/>
      <c r="AF709" s="150"/>
      <c r="AG709" s="150"/>
      <c r="AH709" s="150"/>
      <c r="AI709" s="150"/>
      <c r="AJ709" s="150"/>
      <c r="AK709" s="150"/>
      <c r="AL709" s="150"/>
      <c r="AM709" s="150"/>
      <c r="AN709" s="150"/>
      <c r="AO709" s="150"/>
      <c r="AP709" s="150"/>
      <c r="AQ709" s="150"/>
      <c r="AT709" s="186"/>
      <c r="AU709" s="186"/>
      <c r="AV709" s="186"/>
      <c r="AW709" s="186"/>
      <c r="AX709" s="186"/>
      <c r="AY709" s="186"/>
      <c r="AZ709" s="186"/>
      <c r="BA709" s="186"/>
      <c r="BB709" s="186"/>
      <c r="BC709" s="186"/>
      <c r="BD709" s="186"/>
      <c r="BE709" s="186"/>
      <c r="BF709" s="150"/>
      <c r="BG709" s="150"/>
    </row>
    <row r="710" spans="3:59" ht="14.6">
      <c r="C710" s="289"/>
      <c r="D710" s="150"/>
      <c r="E710" s="150"/>
      <c r="F710" s="150"/>
      <c r="G710" s="150"/>
      <c r="H710" s="150"/>
      <c r="I710" s="150"/>
      <c r="J710" s="150"/>
      <c r="K710" s="150"/>
      <c r="L710" s="150"/>
      <c r="M710" s="150"/>
      <c r="N710" s="150"/>
      <c r="O710" s="150"/>
      <c r="P710" s="150"/>
      <c r="Q710" s="150"/>
      <c r="R710" s="150"/>
      <c r="S710" s="150"/>
      <c r="T710" s="186"/>
      <c r="U710" s="186"/>
      <c r="V710" s="186"/>
      <c r="W710" s="186"/>
      <c r="X710" s="186"/>
      <c r="Y710" s="186"/>
      <c r="Z710" s="186"/>
      <c r="AA710" s="186"/>
      <c r="AB710" s="186"/>
      <c r="AC710" s="186"/>
      <c r="AD710" s="186"/>
      <c r="AF710" s="150"/>
      <c r="AG710" s="150"/>
      <c r="AH710" s="150"/>
      <c r="AI710" s="150"/>
      <c r="AJ710" s="150"/>
      <c r="AK710" s="150"/>
      <c r="AL710" s="150"/>
      <c r="AM710" s="150"/>
      <c r="AN710" s="150"/>
      <c r="AO710" s="150"/>
      <c r="AP710" s="150"/>
      <c r="AQ710" s="150"/>
      <c r="AT710" s="186"/>
      <c r="AU710" s="186"/>
      <c r="AV710" s="186"/>
      <c r="AW710" s="186"/>
      <c r="AX710" s="186"/>
      <c r="AY710" s="186"/>
      <c r="AZ710" s="186"/>
      <c r="BA710" s="186"/>
      <c r="BB710" s="186"/>
      <c r="BC710" s="186"/>
      <c r="BD710" s="186"/>
      <c r="BE710" s="186"/>
      <c r="BF710" s="150"/>
      <c r="BG710" s="150"/>
    </row>
    <row r="711" spans="3:59" ht="14.6">
      <c r="C711" s="289"/>
      <c r="D711" s="150"/>
      <c r="E711" s="150"/>
      <c r="F711" s="150"/>
      <c r="G711" s="150"/>
      <c r="H711" s="150"/>
      <c r="I711" s="150"/>
      <c r="J711" s="150"/>
      <c r="K711" s="150"/>
      <c r="L711" s="150"/>
      <c r="M711" s="150"/>
      <c r="N711" s="150"/>
      <c r="O711" s="150"/>
      <c r="P711" s="150"/>
      <c r="Q711" s="150"/>
      <c r="R711" s="150"/>
      <c r="S711" s="150"/>
      <c r="T711" s="186"/>
      <c r="U711" s="186"/>
      <c r="V711" s="186"/>
      <c r="W711" s="186"/>
      <c r="X711" s="186"/>
      <c r="Y711" s="186"/>
      <c r="Z711" s="186"/>
      <c r="AA711" s="186"/>
      <c r="AB711" s="186"/>
      <c r="AC711" s="186"/>
      <c r="AD711" s="186"/>
      <c r="AF711" s="150"/>
      <c r="AG711" s="150"/>
      <c r="AH711" s="150"/>
      <c r="AI711" s="150"/>
      <c r="AJ711" s="150"/>
      <c r="AK711" s="150"/>
      <c r="AL711" s="150"/>
      <c r="AM711" s="150"/>
      <c r="AN711" s="150"/>
      <c r="AO711" s="150"/>
      <c r="AP711" s="150"/>
      <c r="AQ711" s="150"/>
      <c r="AT711" s="186"/>
      <c r="AU711" s="186"/>
      <c r="AV711" s="186"/>
      <c r="AW711" s="186"/>
      <c r="AX711" s="186"/>
      <c r="AY711" s="186"/>
      <c r="AZ711" s="186"/>
      <c r="BA711" s="186"/>
      <c r="BB711" s="186"/>
      <c r="BC711" s="186"/>
      <c r="BD711" s="186"/>
      <c r="BE711" s="186"/>
      <c r="BF711" s="150"/>
      <c r="BG711" s="150"/>
    </row>
    <row r="712" spans="3:59" ht="14.6">
      <c r="C712" s="289"/>
      <c r="D712" s="150"/>
      <c r="E712" s="150"/>
      <c r="F712" s="150"/>
      <c r="G712" s="150"/>
      <c r="H712" s="150"/>
      <c r="I712" s="150"/>
      <c r="J712" s="150"/>
      <c r="K712" s="150"/>
      <c r="L712" s="150"/>
      <c r="M712" s="150"/>
      <c r="N712" s="150"/>
      <c r="O712" s="150"/>
      <c r="P712" s="150"/>
      <c r="Q712" s="150"/>
      <c r="R712" s="150"/>
      <c r="S712" s="150"/>
      <c r="T712" s="186"/>
      <c r="U712" s="186"/>
      <c r="V712" s="186"/>
      <c r="W712" s="186"/>
      <c r="X712" s="186"/>
      <c r="Y712" s="186"/>
      <c r="Z712" s="186"/>
      <c r="AA712" s="186"/>
      <c r="AB712" s="186"/>
      <c r="AC712" s="186"/>
      <c r="AD712" s="186"/>
      <c r="AF712" s="150"/>
      <c r="AG712" s="150"/>
      <c r="AH712" s="150"/>
      <c r="AI712" s="150"/>
      <c r="AJ712" s="150"/>
      <c r="AK712" s="150"/>
      <c r="AL712" s="150"/>
      <c r="AM712" s="150"/>
      <c r="AN712" s="150"/>
      <c r="AO712" s="150"/>
      <c r="AP712" s="150"/>
      <c r="AQ712" s="150"/>
      <c r="AT712" s="186"/>
      <c r="AU712" s="186"/>
      <c r="AV712" s="186"/>
      <c r="AW712" s="186"/>
      <c r="AX712" s="186"/>
      <c r="AY712" s="186"/>
      <c r="AZ712" s="186"/>
      <c r="BA712" s="186"/>
      <c r="BB712" s="186"/>
      <c r="BC712" s="186"/>
      <c r="BD712" s="186"/>
      <c r="BE712" s="186"/>
      <c r="BF712" s="150"/>
      <c r="BG712" s="150"/>
    </row>
    <row r="713" spans="3:59" ht="14.6">
      <c r="C713" s="289"/>
      <c r="D713" s="150"/>
      <c r="E713" s="150"/>
      <c r="F713" s="150"/>
      <c r="G713" s="150"/>
      <c r="H713" s="150"/>
      <c r="I713" s="150"/>
      <c r="J713" s="150"/>
      <c r="K713" s="150"/>
      <c r="L713" s="150"/>
      <c r="M713" s="150"/>
      <c r="N713" s="150"/>
      <c r="O713" s="150"/>
      <c r="P713" s="150"/>
      <c r="Q713" s="150"/>
      <c r="R713" s="150"/>
      <c r="S713" s="150"/>
      <c r="T713" s="186"/>
      <c r="U713" s="186"/>
      <c r="V713" s="186"/>
      <c r="W713" s="186"/>
      <c r="X713" s="186"/>
      <c r="Y713" s="186"/>
      <c r="Z713" s="186"/>
      <c r="AA713" s="186"/>
      <c r="AB713" s="186"/>
      <c r="AC713" s="186"/>
      <c r="AD713" s="186"/>
      <c r="AF713" s="150"/>
      <c r="AG713" s="150"/>
      <c r="AH713" s="150"/>
      <c r="AI713" s="150"/>
      <c r="AJ713" s="150"/>
      <c r="AK713" s="150"/>
      <c r="AL713" s="150"/>
      <c r="AM713" s="150"/>
      <c r="AN713" s="150"/>
      <c r="AO713" s="150"/>
      <c r="AP713" s="150"/>
      <c r="AQ713" s="150"/>
      <c r="AT713" s="186"/>
      <c r="AU713" s="186"/>
      <c r="AV713" s="186"/>
      <c r="AW713" s="186"/>
      <c r="AX713" s="186"/>
      <c r="AY713" s="186"/>
      <c r="AZ713" s="186"/>
      <c r="BA713" s="186"/>
      <c r="BB713" s="186"/>
      <c r="BC713" s="186"/>
      <c r="BD713" s="186"/>
      <c r="BE713" s="186"/>
      <c r="BF713" s="150"/>
      <c r="BG713" s="150"/>
    </row>
    <row r="714" spans="3:59" ht="14.6">
      <c r="C714" s="289"/>
      <c r="D714" s="150"/>
      <c r="E714" s="150"/>
      <c r="F714" s="150"/>
      <c r="G714" s="150"/>
      <c r="H714" s="150"/>
      <c r="I714" s="150"/>
      <c r="J714" s="150"/>
      <c r="K714" s="150"/>
      <c r="L714" s="150"/>
      <c r="M714" s="150"/>
      <c r="N714" s="150"/>
      <c r="O714" s="150"/>
      <c r="P714" s="150"/>
      <c r="Q714" s="150"/>
      <c r="R714" s="150"/>
      <c r="S714" s="150"/>
      <c r="T714" s="186"/>
      <c r="U714" s="186"/>
      <c r="V714" s="186"/>
      <c r="W714" s="186"/>
      <c r="X714" s="186"/>
      <c r="Y714" s="186"/>
      <c r="Z714" s="186"/>
      <c r="AA714" s="186"/>
      <c r="AB714" s="186"/>
      <c r="AC714" s="186"/>
      <c r="AD714" s="186"/>
      <c r="AF714" s="150"/>
      <c r="AG714" s="150"/>
      <c r="AH714" s="150"/>
      <c r="AI714" s="150"/>
      <c r="AJ714" s="150"/>
      <c r="AK714" s="150"/>
      <c r="AL714" s="150"/>
      <c r="AM714" s="150"/>
      <c r="AN714" s="150"/>
      <c r="AO714" s="150"/>
      <c r="AP714" s="150"/>
      <c r="AQ714" s="150"/>
      <c r="AT714" s="186"/>
      <c r="AU714" s="186"/>
      <c r="AV714" s="186"/>
      <c r="AW714" s="186"/>
      <c r="AX714" s="186"/>
      <c r="AY714" s="186"/>
      <c r="AZ714" s="186"/>
      <c r="BA714" s="186"/>
      <c r="BB714" s="186"/>
      <c r="BC714" s="186"/>
      <c r="BD714" s="186"/>
      <c r="BE714" s="186"/>
      <c r="BF714" s="150"/>
      <c r="BG714" s="150"/>
    </row>
    <row r="715" spans="3:59" ht="14.6">
      <c r="C715" s="289"/>
      <c r="D715" s="150"/>
      <c r="E715" s="150"/>
      <c r="F715" s="150"/>
      <c r="G715" s="150"/>
      <c r="H715" s="150"/>
      <c r="I715" s="150"/>
      <c r="J715" s="150"/>
      <c r="K715" s="150"/>
      <c r="L715" s="150"/>
      <c r="M715" s="150"/>
      <c r="N715" s="150"/>
      <c r="O715" s="150"/>
      <c r="P715" s="150"/>
      <c r="Q715" s="150"/>
      <c r="R715" s="150"/>
      <c r="S715" s="150"/>
      <c r="T715" s="186"/>
      <c r="U715" s="186"/>
      <c r="V715" s="186"/>
      <c r="W715" s="186"/>
      <c r="X715" s="186"/>
      <c r="Y715" s="186"/>
      <c r="Z715" s="186"/>
      <c r="AA715" s="186"/>
      <c r="AB715" s="186"/>
      <c r="AC715" s="186"/>
      <c r="AD715" s="186"/>
      <c r="AF715" s="150"/>
      <c r="AG715" s="150"/>
      <c r="AH715" s="150"/>
      <c r="AI715" s="150"/>
      <c r="AJ715" s="150"/>
      <c r="AK715" s="150"/>
      <c r="AL715" s="150"/>
      <c r="AM715" s="150"/>
      <c r="AN715" s="150"/>
      <c r="AO715" s="150"/>
      <c r="AP715" s="150"/>
      <c r="AQ715" s="150"/>
      <c r="AT715" s="186"/>
      <c r="AU715" s="186"/>
      <c r="AV715" s="186"/>
      <c r="AW715" s="186"/>
      <c r="AX715" s="186"/>
      <c r="AY715" s="186"/>
      <c r="AZ715" s="186"/>
      <c r="BA715" s="186"/>
      <c r="BB715" s="186"/>
      <c r="BC715" s="186"/>
      <c r="BD715" s="186"/>
      <c r="BE715" s="186"/>
      <c r="BF715" s="150"/>
      <c r="BG715" s="150"/>
    </row>
    <row r="716" spans="3:59" ht="14.6">
      <c r="C716" s="289"/>
      <c r="D716" s="150"/>
      <c r="E716" s="150"/>
      <c r="F716" s="150"/>
      <c r="G716" s="150"/>
      <c r="H716" s="150"/>
      <c r="I716" s="150"/>
      <c r="J716" s="150"/>
      <c r="K716" s="150"/>
      <c r="L716" s="150"/>
      <c r="M716" s="150"/>
      <c r="N716" s="150"/>
      <c r="O716" s="150"/>
      <c r="P716" s="150"/>
      <c r="Q716" s="150"/>
      <c r="R716" s="150"/>
      <c r="S716" s="150"/>
      <c r="T716" s="186"/>
      <c r="U716" s="186"/>
      <c r="V716" s="186"/>
      <c r="W716" s="186"/>
      <c r="X716" s="186"/>
      <c r="Y716" s="186"/>
      <c r="Z716" s="186"/>
      <c r="AA716" s="186"/>
      <c r="AB716" s="186"/>
      <c r="AC716" s="186"/>
      <c r="AD716" s="186"/>
      <c r="AF716" s="150"/>
      <c r="AG716" s="150"/>
      <c r="AH716" s="150"/>
      <c r="AI716" s="150"/>
      <c r="AJ716" s="150"/>
      <c r="AK716" s="150"/>
      <c r="AL716" s="150"/>
      <c r="AM716" s="150"/>
      <c r="AN716" s="150"/>
      <c r="AO716" s="150"/>
      <c r="AP716" s="150"/>
      <c r="AQ716" s="150"/>
      <c r="AT716" s="186"/>
      <c r="AU716" s="186"/>
      <c r="AV716" s="186"/>
      <c r="AW716" s="186"/>
      <c r="AX716" s="186"/>
      <c r="AY716" s="186"/>
      <c r="AZ716" s="186"/>
      <c r="BA716" s="186"/>
      <c r="BB716" s="186"/>
      <c r="BC716" s="186"/>
      <c r="BD716" s="186"/>
      <c r="BE716" s="186"/>
      <c r="BF716" s="150"/>
      <c r="BG716" s="150"/>
    </row>
    <row r="717" spans="3:59" ht="14.6">
      <c r="C717" s="289"/>
      <c r="D717" s="150"/>
      <c r="E717" s="150"/>
      <c r="F717" s="150"/>
      <c r="G717" s="150"/>
      <c r="H717" s="150"/>
      <c r="I717" s="150"/>
      <c r="J717" s="150"/>
      <c r="K717" s="150"/>
      <c r="L717" s="150"/>
      <c r="M717" s="150"/>
      <c r="N717" s="150"/>
      <c r="O717" s="150"/>
      <c r="P717" s="150"/>
      <c r="Q717" s="150"/>
      <c r="R717" s="150"/>
      <c r="S717" s="150"/>
      <c r="T717" s="186"/>
      <c r="U717" s="186"/>
      <c r="V717" s="186"/>
      <c r="W717" s="186"/>
      <c r="X717" s="186"/>
      <c r="Y717" s="186"/>
      <c r="Z717" s="186"/>
      <c r="AA717" s="186"/>
      <c r="AB717" s="186"/>
      <c r="AC717" s="186"/>
      <c r="AD717" s="186"/>
      <c r="AF717" s="150"/>
      <c r="AG717" s="150"/>
      <c r="AH717" s="150"/>
      <c r="AI717" s="150"/>
      <c r="AJ717" s="150"/>
      <c r="AK717" s="150"/>
      <c r="AL717" s="150"/>
      <c r="AM717" s="150"/>
      <c r="AN717" s="150"/>
      <c r="AO717" s="150"/>
      <c r="AP717" s="150"/>
      <c r="AQ717" s="150"/>
      <c r="AT717" s="186"/>
      <c r="AU717" s="186"/>
      <c r="AV717" s="186"/>
      <c r="AW717" s="186"/>
      <c r="AX717" s="186"/>
      <c r="AY717" s="186"/>
      <c r="AZ717" s="186"/>
      <c r="BA717" s="186"/>
      <c r="BB717" s="186"/>
      <c r="BC717" s="186"/>
      <c r="BD717" s="186"/>
      <c r="BE717" s="186"/>
      <c r="BF717" s="150"/>
      <c r="BG717" s="150"/>
    </row>
    <row r="718" spans="3:59" ht="14.6">
      <c r="C718" s="289"/>
      <c r="D718" s="150"/>
      <c r="E718" s="150"/>
      <c r="F718" s="150"/>
      <c r="G718" s="150"/>
      <c r="H718" s="150"/>
      <c r="I718" s="150"/>
      <c r="J718" s="150"/>
      <c r="K718" s="150"/>
      <c r="L718" s="150"/>
      <c r="M718" s="150"/>
      <c r="N718" s="150"/>
      <c r="O718" s="150"/>
      <c r="P718" s="150"/>
      <c r="Q718" s="150"/>
      <c r="R718" s="150"/>
      <c r="S718" s="150"/>
      <c r="T718" s="186"/>
      <c r="U718" s="186"/>
      <c r="V718" s="186"/>
      <c r="W718" s="186"/>
      <c r="X718" s="186"/>
      <c r="Y718" s="186"/>
      <c r="Z718" s="186"/>
      <c r="AA718" s="186"/>
      <c r="AB718" s="186"/>
      <c r="AC718" s="186"/>
      <c r="AD718" s="186"/>
      <c r="AF718" s="150"/>
      <c r="AG718" s="150"/>
      <c r="AH718" s="150"/>
      <c r="AI718" s="150"/>
      <c r="AJ718" s="150"/>
      <c r="AK718" s="150"/>
      <c r="AL718" s="150"/>
      <c r="AM718" s="150"/>
      <c r="AN718" s="150"/>
      <c r="AO718" s="150"/>
      <c r="AP718" s="150"/>
      <c r="AQ718" s="150"/>
      <c r="AT718" s="186"/>
      <c r="AU718" s="186"/>
      <c r="AV718" s="186"/>
      <c r="AW718" s="186"/>
      <c r="AX718" s="186"/>
      <c r="AY718" s="186"/>
      <c r="AZ718" s="186"/>
      <c r="BA718" s="186"/>
      <c r="BB718" s="186"/>
      <c r="BC718" s="186"/>
      <c r="BD718" s="186"/>
      <c r="BE718" s="186"/>
      <c r="BF718" s="150"/>
      <c r="BG718" s="150"/>
    </row>
    <row r="719" spans="3:59" ht="14.6">
      <c r="C719" s="289"/>
      <c r="D719" s="150"/>
      <c r="E719" s="150"/>
      <c r="F719" s="150"/>
      <c r="G719" s="150"/>
      <c r="H719" s="150"/>
      <c r="I719" s="150"/>
      <c r="J719" s="150"/>
      <c r="K719" s="150"/>
      <c r="L719" s="150"/>
      <c r="M719" s="150"/>
      <c r="N719" s="150"/>
      <c r="O719" s="150"/>
      <c r="P719" s="150"/>
      <c r="Q719" s="150"/>
      <c r="R719" s="150"/>
      <c r="S719" s="150"/>
      <c r="T719" s="186"/>
      <c r="U719" s="186"/>
      <c r="V719" s="186"/>
      <c r="W719" s="186"/>
      <c r="X719" s="186"/>
      <c r="Y719" s="186"/>
      <c r="Z719" s="186"/>
      <c r="AA719" s="186"/>
      <c r="AB719" s="186"/>
      <c r="AC719" s="186"/>
      <c r="AD719" s="186"/>
      <c r="AF719" s="150"/>
      <c r="AG719" s="150"/>
      <c r="AH719" s="150"/>
      <c r="AI719" s="150"/>
      <c r="AJ719" s="150"/>
      <c r="AK719" s="150"/>
      <c r="AL719" s="150"/>
      <c r="AM719" s="150"/>
      <c r="AN719" s="150"/>
      <c r="AO719" s="150"/>
      <c r="AP719" s="150"/>
      <c r="AQ719" s="150"/>
      <c r="AT719" s="186"/>
      <c r="AU719" s="186"/>
      <c r="AV719" s="186"/>
      <c r="AW719" s="186"/>
      <c r="AX719" s="186"/>
      <c r="AY719" s="186"/>
      <c r="AZ719" s="186"/>
      <c r="BA719" s="186"/>
      <c r="BB719" s="186"/>
      <c r="BC719" s="186"/>
      <c r="BD719" s="186"/>
      <c r="BE719" s="186"/>
      <c r="BF719" s="150"/>
      <c r="BG719" s="150"/>
    </row>
    <row r="720" spans="3:59" ht="14.6">
      <c r="C720" s="289"/>
      <c r="D720" s="150"/>
      <c r="E720" s="150"/>
      <c r="F720" s="150"/>
      <c r="G720" s="150"/>
      <c r="H720" s="150"/>
      <c r="I720" s="150"/>
      <c r="J720" s="150"/>
      <c r="K720" s="150"/>
      <c r="L720" s="150"/>
      <c r="M720" s="150"/>
      <c r="N720" s="150"/>
      <c r="O720" s="150"/>
      <c r="P720" s="150"/>
      <c r="Q720" s="150"/>
      <c r="R720" s="150"/>
      <c r="S720" s="150"/>
      <c r="T720" s="186"/>
      <c r="U720" s="186"/>
      <c r="V720" s="186"/>
      <c r="W720" s="186"/>
      <c r="X720" s="186"/>
      <c r="Y720" s="186"/>
      <c r="Z720" s="186"/>
      <c r="AA720" s="186"/>
      <c r="AB720" s="186"/>
      <c r="AC720" s="186"/>
      <c r="AD720" s="186"/>
      <c r="AF720" s="150"/>
      <c r="AG720" s="150"/>
      <c r="AH720" s="150"/>
      <c r="AI720" s="150"/>
      <c r="AJ720" s="150"/>
      <c r="AK720" s="150"/>
      <c r="AL720" s="150"/>
      <c r="AM720" s="150"/>
      <c r="AN720" s="150"/>
      <c r="AO720" s="150"/>
      <c r="AP720" s="150"/>
      <c r="AQ720" s="150"/>
      <c r="AT720" s="186"/>
      <c r="AU720" s="186"/>
      <c r="AV720" s="186"/>
      <c r="AW720" s="186"/>
      <c r="AX720" s="186"/>
      <c r="AY720" s="186"/>
      <c r="AZ720" s="186"/>
      <c r="BA720" s="186"/>
      <c r="BB720" s="186"/>
      <c r="BC720" s="186"/>
      <c r="BD720" s="186"/>
      <c r="BE720" s="186"/>
      <c r="BF720" s="150"/>
      <c r="BG720" s="150"/>
    </row>
    <row r="721" spans="3:59" ht="14.6">
      <c r="C721" s="289"/>
      <c r="D721" s="150"/>
      <c r="E721" s="150"/>
      <c r="F721" s="150"/>
      <c r="G721" s="150"/>
      <c r="H721" s="150"/>
      <c r="I721" s="150"/>
      <c r="J721" s="150"/>
      <c r="K721" s="150"/>
      <c r="L721" s="150"/>
      <c r="M721" s="150"/>
      <c r="N721" s="150"/>
      <c r="O721" s="150"/>
      <c r="P721" s="150"/>
      <c r="Q721" s="150"/>
      <c r="R721" s="150"/>
      <c r="S721" s="150"/>
      <c r="T721" s="186"/>
      <c r="U721" s="186"/>
      <c r="V721" s="186"/>
      <c r="W721" s="186"/>
      <c r="X721" s="186"/>
      <c r="Y721" s="186"/>
      <c r="Z721" s="186"/>
      <c r="AA721" s="186"/>
      <c r="AB721" s="186"/>
      <c r="AC721" s="186"/>
      <c r="AD721" s="186"/>
      <c r="AF721" s="150"/>
      <c r="AG721" s="150"/>
      <c r="AH721" s="150"/>
      <c r="AI721" s="150"/>
      <c r="AJ721" s="150"/>
      <c r="AK721" s="150"/>
      <c r="AL721" s="150"/>
      <c r="AM721" s="150"/>
      <c r="AN721" s="150"/>
      <c r="AO721" s="150"/>
      <c r="AP721" s="150"/>
      <c r="AQ721" s="150"/>
      <c r="AT721" s="186"/>
      <c r="AU721" s="186"/>
      <c r="AV721" s="186"/>
      <c r="AW721" s="186"/>
      <c r="AX721" s="186"/>
      <c r="AY721" s="186"/>
      <c r="AZ721" s="186"/>
      <c r="BA721" s="186"/>
      <c r="BB721" s="186"/>
      <c r="BC721" s="186"/>
      <c r="BD721" s="186"/>
      <c r="BE721" s="186"/>
      <c r="BF721" s="150"/>
      <c r="BG721" s="150"/>
    </row>
    <row r="722" spans="3:59" ht="14.6">
      <c r="C722" s="289"/>
      <c r="D722" s="150"/>
      <c r="E722" s="150"/>
      <c r="F722" s="150"/>
      <c r="G722" s="150"/>
      <c r="H722" s="150"/>
      <c r="I722" s="150"/>
      <c r="J722" s="150"/>
      <c r="K722" s="150"/>
      <c r="L722" s="150"/>
      <c r="M722" s="150"/>
      <c r="N722" s="150"/>
      <c r="O722" s="150"/>
      <c r="P722" s="150"/>
      <c r="Q722" s="150"/>
      <c r="R722" s="150"/>
      <c r="S722" s="150"/>
      <c r="T722" s="186"/>
      <c r="U722" s="186"/>
      <c r="V722" s="186"/>
      <c r="W722" s="186"/>
      <c r="X722" s="186"/>
      <c r="Y722" s="186"/>
      <c r="Z722" s="186"/>
      <c r="AA722" s="186"/>
      <c r="AB722" s="186"/>
      <c r="AC722" s="186"/>
      <c r="AD722" s="186"/>
      <c r="AF722" s="150"/>
      <c r="AG722" s="150"/>
      <c r="AH722" s="150"/>
      <c r="AI722" s="150"/>
      <c r="AJ722" s="150"/>
      <c r="AK722" s="150"/>
      <c r="AL722" s="150"/>
      <c r="AM722" s="150"/>
      <c r="AN722" s="150"/>
      <c r="AO722" s="150"/>
      <c r="AP722" s="150"/>
      <c r="AQ722" s="150"/>
      <c r="AT722" s="186"/>
      <c r="AU722" s="186"/>
      <c r="AV722" s="186"/>
      <c r="AW722" s="186"/>
      <c r="AX722" s="186"/>
      <c r="AY722" s="186"/>
      <c r="AZ722" s="186"/>
      <c r="BA722" s="186"/>
      <c r="BB722" s="186"/>
      <c r="BC722" s="186"/>
      <c r="BD722" s="186"/>
      <c r="BE722" s="186"/>
      <c r="BF722" s="150"/>
      <c r="BG722" s="150"/>
    </row>
    <row r="723" spans="3:59" ht="14.6">
      <c r="C723" s="289"/>
      <c r="D723" s="150"/>
      <c r="E723" s="150"/>
      <c r="F723" s="150"/>
      <c r="G723" s="150"/>
      <c r="H723" s="150"/>
      <c r="I723" s="150"/>
      <c r="J723" s="150"/>
      <c r="K723" s="150"/>
      <c r="L723" s="150"/>
      <c r="M723" s="150"/>
      <c r="N723" s="150"/>
      <c r="O723" s="150"/>
      <c r="P723" s="150"/>
      <c r="Q723" s="150"/>
      <c r="R723" s="150"/>
      <c r="S723" s="150"/>
      <c r="T723" s="186"/>
      <c r="U723" s="186"/>
      <c r="V723" s="186"/>
      <c r="W723" s="186"/>
      <c r="X723" s="186"/>
      <c r="Y723" s="186"/>
      <c r="Z723" s="186"/>
      <c r="AA723" s="186"/>
      <c r="AB723" s="186"/>
      <c r="AC723" s="186"/>
      <c r="AD723" s="186"/>
      <c r="AF723" s="150"/>
      <c r="AG723" s="150"/>
      <c r="AH723" s="150"/>
      <c r="AI723" s="150"/>
      <c r="AJ723" s="150"/>
      <c r="AK723" s="150"/>
      <c r="AL723" s="150"/>
      <c r="AM723" s="150"/>
      <c r="AN723" s="150"/>
      <c r="AO723" s="150"/>
      <c r="AP723" s="150"/>
      <c r="AQ723" s="150"/>
      <c r="AT723" s="186"/>
      <c r="AU723" s="186"/>
      <c r="AV723" s="186"/>
      <c r="AW723" s="186"/>
      <c r="AX723" s="186"/>
      <c r="AY723" s="186"/>
      <c r="AZ723" s="186"/>
      <c r="BA723" s="186"/>
      <c r="BB723" s="186"/>
      <c r="BC723" s="186"/>
      <c r="BD723" s="186"/>
      <c r="BE723" s="186"/>
      <c r="BF723" s="150"/>
      <c r="BG723" s="150"/>
    </row>
    <row r="724" spans="3:59" ht="14.6">
      <c r="C724" s="289"/>
      <c r="D724" s="150"/>
      <c r="E724" s="150"/>
      <c r="F724" s="150"/>
      <c r="G724" s="150"/>
      <c r="H724" s="150"/>
      <c r="I724" s="150"/>
      <c r="J724" s="150"/>
      <c r="K724" s="150"/>
      <c r="L724" s="150"/>
      <c r="M724" s="150"/>
      <c r="N724" s="150"/>
      <c r="O724" s="150"/>
      <c r="P724" s="150"/>
      <c r="Q724" s="150"/>
      <c r="R724" s="150"/>
      <c r="S724" s="150"/>
      <c r="T724" s="186"/>
      <c r="U724" s="186"/>
      <c r="V724" s="186"/>
      <c r="W724" s="186"/>
      <c r="X724" s="186"/>
      <c r="Y724" s="186"/>
      <c r="Z724" s="186"/>
      <c r="AA724" s="186"/>
      <c r="AB724" s="186"/>
      <c r="AC724" s="186"/>
      <c r="AD724" s="186"/>
      <c r="AF724" s="150"/>
      <c r="AG724" s="150"/>
      <c r="AH724" s="150"/>
      <c r="AI724" s="150"/>
      <c r="AJ724" s="150"/>
      <c r="AK724" s="150"/>
      <c r="AL724" s="150"/>
      <c r="AM724" s="150"/>
      <c r="AN724" s="150"/>
      <c r="AO724" s="150"/>
      <c r="AP724" s="150"/>
      <c r="AQ724" s="150"/>
      <c r="AT724" s="186"/>
      <c r="AU724" s="186"/>
      <c r="AV724" s="186"/>
      <c r="AW724" s="186"/>
      <c r="AX724" s="186"/>
      <c r="AY724" s="186"/>
      <c r="AZ724" s="186"/>
      <c r="BA724" s="186"/>
      <c r="BB724" s="186"/>
      <c r="BC724" s="186"/>
      <c r="BD724" s="186"/>
      <c r="BE724" s="186"/>
      <c r="BF724" s="150"/>
      <c r="BG724" s="150"/>
    </row>
    <row r="725" spans="3:59" ht="14.6">
      <c r="C725" s="289"/>
      <c r="D725" s="150"/>
      <c r="E725" s="150"/>
      <c r="F725" s="150"/>
      <c r="G725" s="150"/>
      <c r="H725" s="150"/>
      <c r="I725" s="150"/>
      <c r="J725" s="150"/>
      <c r="K725" s="150"/>
      <c r="L725" s="150"/>
      <c r="M725" s="150"/>
      <c r="N725" s="150"/>
      <c r="O725" s="150"/>
      <c r="P725" s="150"/>
      <c r="Q725" s="150"/>
      <c r="R725" s="150"/>
      <c r="S725" s="150"/>
      <c r="T725" s="186"/>
      <c r="U725" s="186"/>
      <c r="V725" s="186"/>
      <c r="W725" s="186"/>
      <c r="X725" s="186"/>
      <c r="Y725" s="186"/>
      <c r="Z725" s="186"/>
      <c r="AA725" s="186"/>
      <c r="AB725" s="186"/>
      <c r="AC725" s="186"/>
      <c r="AD725" s="186"/>
      <c r="AF725" s="150"/>
      <c r="AG725" s="150"/>
      <c r="AH725" s="150"/>
      <c r="AI725" s="150"/>
      <c r="AJ725" s="150"/>
      <c r="AK725" s="150"/>
      <c r="AL725" s="150"/>
      <c r="AM725" s="150"/>
      <c r="AN725" s="150"/>
      <c r="AO725" s="150"/>
      <c r="AP725" s="150"/>
      <c r="AQ725" s="150"/>
      <c r="AT725" s="186"/>
      <c r="AU725" s="186"/>
      <c r="AV725" s="186"/>
      <c r="AW725" s="186"/>
      <c r="AX725" s="186"/>
      <c r="AY725" s="186"/>
      <c r="AZ725" s="186"/>
      <c r="BA725" s="186"/>
      <c r="BB725" s="186"/>
      <c r="BC725" s="186"/>
      <c r="BD725" s="186"/>
      <c r="BE725" s="186"/>
      <c r="BF725" s="150"/>
      <c r="BG725" s="150"/>
    </row>
    <row r="726" spans="3:59" ht="14.6">
      <c r="C726" s="289"/>
      <c r="D726" s="150"/>
      <c r="E726" s="150"/>
      <c r="F726" s="150"/>
      <c r="G726" s="150"/>
      <c r="H726" s="150"/>
      <c r="I726" s="150"/>
      <c r="J726" s="150"/>
      <c r="K726" s="150"/>
      <c r="L726" s="150"/>
      <c r="M726" s="150"/>
      <c r="N726" s="150"/>
      <c r="O726" s="150"/>
      <c r="P726" s="150"/>
      <c r="Q726" s="150"/>
      <c r="R726" s="150"/>
      <c r="S726" s="150"/>
      <c r="T726" s="186"/>
      <c r="U726" s="186"/>
      <c r="V726" s="186"/>
      <c r="W726" s="186"/>
      <c r="X726" s="186"/>
      <c r="Y726" s="186"/>
      <c r="Z726" s="186"/>
      <c r="AA726" s="186"/>
      <c r="AB726" s="186"/>
      <c r="AC726" s="186"/>
      <c r="AD726" s="186"/>
      <c r="AF726" s="150"/>
      <c r="AG726" s="150"/>
      <c r="AH726" s="150"/>
      <c r="AI726" s="150"/>
      <c r="AJ726" s="150"/>
      <c r="AK726" s="150"/>
      <c r="AL726" s="150"/>
      <c r="AM726" s="150"/>
      <c r="AN726" s="150"/>
      <c r="AO726" s="150"/>
      <c r="AP726" s="150"/>
      <c r="AQ726" s="150"/>
      <c r="AT726" s="186"/>
      <c r="AU726" s="186"/>
      <c r="AV726" s="186"/>
      <c r="AW726" s="186"/>
      <c r="AX726" s="186"/>
      <c r="AY726" s="186"/>
      <c r="AZ726" s="186"/>
      <c r="BA726" s="186"/>
      <c r="BB726" s="186"/>
      <c r="BC726" s="186"/>
      <c r="BD726" s="186"/>
      <c r="BE726" s="186"/>
      <c r="BF726" s="150"/>
      <c r="BG726" s="150"/>
    </row>
    <row r="727" spans="3:59" ht="14.6">
      <c r="C727" s="289"/>
      <c r="D727" s="150"/>
      <c r="E727" s="150"/>
      <c r="F727" s="150"/>
      <c r="G727" s="150"/>
      <c r="H727" s="150"/>
      <c r="I727" s="150"/>
      <c r="J727" s="150"/>
      <c r="K727" s="150"/>
      <c r="L727" s="150"/>
      <c r="M727" s="150"/>
      <c r="N727" s="150"/>
      <c r="O727" s="150"/>
      <c r="P727" s="150"/>
      <c r="Q727" s="150"/>
      <c r="R727" s="150"/>
      <c r="S727" s="150"/>
      <c r="T727" s="186"/>
      <c r="U727" s="186"/>
      <c r="V727" s="186"/>
      <c r="W727" s="186"/>
      <c r="X727" s="186"/>
      <c r="Y727" s="186"/>
      <c r="Z727" s="186"/>
      <c r="AA727" s="186"/>
      <c r="AB727" s="186"/>
      <c r="AC727" s="186"/>
      <c r="AD727" s="186"/>
      <c r="AF727" s="150"/>
      <c r="AG727" s="150"/>
      <c r="AH727" s="150"/>
      <c r="AI727" s="150"/>
      <c r="AJ727" s="150"/>
      <c r="AK727" s="150"/>
      <c r="AL727" s="150"/>
      <c r="AM727" s="150"/>
      <c r="AN727" s="150"/>
      <c r="AO727" s="150"/>
      <c r="AP727" s="150"/>
      <c r="AQ727" s="150"/>
      <c r="AT727" s="186"/>
      <c r="AU727" s="186"/>
      <c r="AV727" s="186"/>
      <c r="AW727" s="186"/>
      <c r="AX727" s="186"/>
      <c r="AY727" s="186"/>
      <c r="AZ727" s="186"/>
      <c r="BA727" s="186"/>
      <c r="BB727" s="186"/>
      <c r="BC727" s="186"/>
      <c r="BD727" s="186"/>
      <c r="BE727" s="186"/>
      <c r="BF727" s="150"/>
      <c r="BG727" s="150"/>
    </row>
    <row r="728" spans="3:59" ht="14.6">
      <c r="C728" s="289"/>
      <c r="D728" s="150"/>
      <c r="E728" s="150"/>
      <c r="F728" s="150"/>
      <c r="G728" s="150"/>
      <c r="H728" s="150"/>
      <c r="I728" s="150"/>
      <c r="J728" s="150"/>
      <c r="K728" s="150"/>
      <c r="L728" s="150"/>
      <c r="M728" s="150"/>
      <c r="N728" s="150"/>
      <c r="O728" s="150"/>
      <c r="P728" s="150"/>
      <c r="Q728" s="150"/>
      <c r="R728" s="150"/>
      <c r="S728" s="150"/>
      <c r="T728" s="186"/>
      <c r="U728" s="186"/>
      <c r="V728" s="186"/>
      <c r="W728" s="186"/>
      <c r="X728" s="186"/>
      <c r="Y728" s="186"/>
      <c r="Z728" s="186"/>
      <c r="AA728" s="186"/>
      <c r="AB728" s="186"/>
      <c r="AC728" s="186"/>
      <c r="AD728" s="186"/>
      <c r="AF728" s="150"/>
      <c r="AG728" s="150"/>
      <c r="AH728" s="150"/>
      <c r="AI728" s="150"/>
      <c r="AJ728" s="150"/>
      <c r="AK728" s="150"/>
      <c r="AL728" s="150"/>
      <c r="AM728" s="150"/>
      <c r="AN728" s="150"/>
      <c r="AO728" s="150"/>
      <c r="AP728" s="150"/>
      <c r="AQ728" s="150"/>
      <c r="AT728" s="186"/>
      <c r="AU728" s="186"/>
      <c r="AV728" s="186"/>
      <c r="AW728" s="186"/>
      <c r="AX728" s="186"/>
      <c r="AY728" s="186"/>
      <c r="AZ728" s="186"/>
      <c r="BA728" s="186"/>
      <c r="BB728" s="186"/>
      <c r="BC728" s="186"/>
      <c r="BD728" s="186"/>
      <c r="BE728" s="186"/>
      <c r="BF728" s="150"/>
      <c r="BG728" s="150"/>
    </row>
    <row r="729" spans="3:59" ht="14.6">
      <c r="C729" s="289"/>
      <c r="D729" s="150"/>
      <c r="E729" s="150"/>
      <c r="F729" s="150"/>
      <c r="G729" s="150"/>
      <c r="H729" s="150"/>
      <c r="I729" s="150"/>
      <c r="J729" s="150"/>
      <c r="K729" s="150"/>
      <c r="L729" s="150"/>
      <c r="M729" s="150"/>
      <c r="N729" s="150"/>
      <c r="O729" s="150"/>
      <c r="P729" s="150"/>
      <c r="Q729" s="150"/>
      <c r="R729" s="150"/>
      <c r="S729" s="150"/>
      <c r="T729" s="186"/>
      <c r="U729" s="186"/>
      <c r="V729" s="186"/>
      <c r="W729" s="186"/>
      <c r="X729" s="186"/>
      <c r="Y729" s="186"/>
      <c r="Z729" s="186"/>
      <c r="AA729" s="186"/>
      <c r="AB729" s="186"/>
      <c r="AC729" s="186"/>
      <c r="AD729" s="186"/>
      <c r="AF729" s="150"/>
      <c r="AG729" s="150"/>
      <c r="AH729" s="150"/>
      <c r="AI729" s="150"/>
      <c r="AJ729" s="150"/>
      <c r="AK729" s="150"/>
      <c r="AL729" s="150"/>
      <c r="AM729" s="150"/>
      <c r="AN729" s="150"/>
      <c r="AO729" s="150"/>
      <c r="AP729" s="150"/>
      <c r="AQ729" s="150"/>
      <c r="AT729" s="186"/>
      <c r="AU729" s="186"/>
      <c r="AV729" s="186"/>
      <c r="AW729" s="186"/>
      <c r="AX729" s="186"/>
      <c r="AY729" s="186"/>
      <c r="AZ729" s="186"/>
      <c r="BA729" s="186"/>
      <c r="BB729" s="186"/>
      <c r="BC729" s="186"/>
      <c r="BD729" s="186"/>
      <c r="BE729" s="186"/>
      <c r="BF729" s="150"/>
      <c r="BG729" s="150"/>
    </row>
    <row r="730" spans="3:59" ht="14.6">
      <c r="C730" s="289"/>
      <c r="D730" s="150"/>
      <c r="E730" s="150"/>
      <c r="F730" s="150"/>
      <c r="G730" s="150"/>
      <c r="H730" s="150"/>
      <c r="I730" s="150"/>
      <c r="J730" s="150"/>
      <c r="K730" s="150"/>
      <c r="L730" s="150"/>
      <c r="M730" s="150"/>
      <c r="N730" s="150"/>
      <c r="O730" s="150"/>
      <c r="P730" s="150"/>
      <c r="Q730" s="150"/>
      <c r="R730" s="150"/>
      <c r="S730" s="150"/>
      <c r="T730" s="186"/>
      <c r="U730" s="186"/>
      <c r="V730" s="186"/>
      <c r="W730" s="186"/>
      <c r="X730" s="186"/>
      <c r="Y730" s="186"/>
      <c r="Z730" s="186"/>
      <c r="AA730" s="186"/>
      <c r="AB730" s="186"/>
      <c r="AC730" s="186"/>
      <c r="AD730" s="186"/>
      <c r="AF730" s="150"/>
      <c r="AG730" s="150"/>
      <c r="AH730" s="150"/>
      <c r="AI730" s="150"/>
      <c r="AJ730" s="150"/>
      <c r="AK730" s="150"/>
      <c r="AL730" s="150"/>
      <c r="AM730" s="150"/>
      <c r="AN730" s="150"/>
      <c r="AO730" s="150"/>
      <c r="AP730" s="150"/>
      <c r="AQ730" s="150"/>
      <c r="AT730" s="186"/>
      <c r="AU730" s="186"/>
      <c r="AV730" s="186"/>
      <c r="AW730" s="186"/>
      <c r="AX730" s="186"/>
      <c r="AY730" s="186"/>
      <c r="AZ730" s="186"/>
      <c r="BA730" s="186"/>
      <c r="BB730" s="186"/>
      <c r="BC730" s="186"/>
      <c r="BD730" s="186"/>
      <c r="BE730" s="186"/>
      <c r="BF730" s="150"/>
      <c r="BG730" s="150"/>
    </row>
    <row r="731" spans="3:59" ht="14.6">
      <c r="C731" s="289"/>
      <c r="D731" s="150"/>
      <c r="E731" s="150"/>
      <c r="F731" s="150"/>
      <c r="G731" s="150"/>
      <c r="H731" s="150"/>
      <c r="I731" s="150"/>
      <c r="J731" s="150"/>
      <c r="K731" s="150"/>
      <c r="L731" s="150"/>
      <c r="M731" s="150"/>
      <c r="N731" s="150"/>
      <c r="O731" s="150"/>
      <c r="P731" s="150"/>
      <c r="Q731" s="150"/>
      <c r="R731" s="150"/>
      <c r="S731" s="150"/>
      <c r="T731" s="186"/>
      <c r="U731" s="186"/>
      <c r="V731" s="186"/>
      <c r="W731" s="186"/>
      <c r="X731" s="186"/>
      <c r="Y731" s="186"/>
      <c r="Z731" s="186"/>
      <c r="AA731" s="186"/>
      <c r="AB731" s="186"/>
      <c r="AC731" s="186"/>
      <c r="AD731" s="186"/>
      <c r="AF731" s="150"/>
      <c r="AG731" s="150"/>
      <c r="AH731" s="150"/>
      <c r="AI731" s="150"/>
      <c r="AJ731" s="150"/>
      <c r="AK731" s="150"/>
      <c r="AL731" s="150"/>
      <c r="AM731" s="150"/>
      <c r="AN731" s="150"/>
      <c r="AO731" s="150"/>
      <c r="AP731" s="150"/>
      <c r="AQ731" s="150"/>
      <c r="AT731" s="186"/>
      <c r="AU731" s="186"/>
      <c r="AV731" s="186"/>
      <c r="AW731" s="186"/>
      <c r="AX731" s="186"/>
      <c r="AY731" s="186"/>
      <c r="AZ731" s="186"/>
      <c r="BA731" s="186"/>
      <c r="BB731" s="186"/>
      <c r="BC731" s="186"/>
      <c r="BD731" s="186"/>
      <c r="BE731" s="186"/>
      <c r="BF731" s="150"/>
      <c r="BG731" s="150"/>
    </row>
    <row r="732" spans="3:59" ht="14.6">
      <c r="C732" s="289"/>
      <c r="D732" s="150"/>
      <c r="E732" s="150"/>
      <c r="F732" s="150"/>
      <c r="G732" s="150"/>
      <c r="H732" s="150"/>
      <c r="I732" s="150"/>
      <c r="J732" s="150"/>
      <c r="K732" s="150"/>
      <c r="L732" s="150"/>
      <c r="M732" s="150"/>
      <c r="N732" s="150"/>
      <c r="O732" s="150"/>
      <c r="P732" s="150"/>
      <c r="Q732" s="150"/>
      <c r="R732" s="150"/>
      <c r="S732" s="150"/>
      <c r="T732" s="186"/>
      <c r="U732" s="186"/>
      <c r="V732" s="186"/>
      <c r="W732" s="186"/>
      <c r="X732" s="186"/>
      <c r="Y732" s="186"/>
      <c r="Z732" s="186"/>
      <c r="AA732" s="186"/>
      <c r="AB732" s="186"/>
      <c r="AC732" s="186"/>
      <c r="AD732" s="186"/>
      <c r="AF732" s="150"/>
      <c r="AG732" s="150"/>
      <c r="AH732" s="150"/>
      <c r="AI732" s="150"/>
      <c r="AJ732" s="150"/>
      <c r="AK732" s="150"/>
      <c r="AL732" s="150"/>
      <c r="AM732" s="150"/>
      <c r="AN732" s="150"/>
      <c r="AO732" s="150"/>
      <c r="AP732" s="150"/>
      <c r="AQ732" s="150"/>
      <c r="AT732" s="186"/>
      <c r="AU732" s="186"/>
      <c r="AV732" s="186"/>
      <c r="AW732" s="186"/>
      <c r="AX732" s="186"/>
      <c r="AY732" s="186"/>
      <c r="AZ732" s="186"/>
      <c r="BA732" s="186"/>
      <c r="BB732" s="186"/>
      <c r="BC732" s="186"/>
      <c r="BD732" s="186"/>
      <c r="BE732" s="186"/>
      <c r="BF732" s="150"/>
      <c r="BG732" s="150"/>
    </row>
    <row r="733" spans="3:59" ht="14.6">
      <c r="C733" s="289"/>
      <c r="D733" s="150"/>
      <c r="E733" s="150"/>
      <c r="F733" s="150"/>
      <c r="G733" s="150"/>
      <c r="H733" s="150"/>
      <c r="I733" s="150"/>
      <c r="J733" s="150"/>
      <c r="K733" s="150"/>
      <c r="L733" s="150"/>
      <c r="M733" s="150"/>
      <c r="N733" s="150"/>
      <c r="O733" s="150"/>
      <c r="P733" s="150"/>
      <c r="Q733" s="150"/>
      <c r="R733" s="150"/>
      <c r="S733" s="150"/>
      <c r="T733" s="186"/>
      <c r="U733" s="186"/>
      <c r="V733" s="186"/>
      <c r="W733" s="186"/>
      <c r="X733" s="186"/>
      <c r="Y733" s="186"/>
      <c r="Z733" s="186"/>
      <c r="AA733" s="186"/>
      <c r="AB733" s="186"/>
      <c r="AC733" s="186"/>
      <c r="AD733" s="186"/>
      <c r="AF733" s="150"/>
      <c r="AG733" s="150"/>
      <c r="AH733" s="150"/>
      <c r="AI733" s="150"/>
      <c r="AJ733" s="150"/>
      <c r="AK733" s="150"/>
      <c r="AL733" s="150"/>
      <c r="AM733" s="150"/>
      <c r="AN733" s="150"/>
      <c r="AO733" s="150"/>
      <c r="AP733" s="150"/>
      <c r="AQ733" s="150"/>
      <c r="AT733" s="186"/>
      <c r="AU733" s="186"/>
      <c r="AV733" s="186"/>
      <c r="AW733" s="186"/>
      <c r="AX733" s="186"/>
      <c r="AY733" s="186"/>
      <c r="AZ733" s="186"/>
      <c r="BA733" s="186"/>
      <c r="BB733" s="186"/>
      <c r="BC733" s="186"/>
      <c r="BD733" s="186"/>
      <c r="BE733" s="186"/>
      <c r="BF733" s="150"/>
      <c r="BG733" s="150"/>
    </row>
    <row r="734" spans="3:59" ht="14.6">
      <c r="C734" s="289"/>
      <c r="D734" s="150"/>
      <c r="E734" s="150"/>
      <c r="F734" s="150"/>
      <c r="G734" s="150"/>
      <c r="H734" s="150"/>
      <c r="I734" s="150"/>
      <c r="J734" s="150"/>
      <c r="K734" s="150"/>
      <c r="L734" s="150"/>
      <c r="M734" s="150"/>
      <c r="N734" s="150"/>
      <c r="O734" s="150"/>
      <c r="P734" s="150"/>
      <c r="Q734" s="150"/>
      <c r="R734" s="150"/>
      <c r="S734" s="150"/>
      <c r="T734" s="186"/>
      <c r="U734" s="186"/>
      <c r="V734" s="186"/>
      <c r="W734" s="186"/>
      <c r="X734" s="186"/>
      <c r="Y734" s="186"/>
      <c r="Z734" s="186"/>
      <c r="AA734" s="186"/>
      <c r="AB734" s="186"/>
      <c r="AC734" s="186"/>
      <c r="AD734" s="186"/>
      <c r="AF734" s="150"/>
      <c r="AG734" s="150"/>
      <c r="AH734" s="150"/>
      <c r="AI734" s="150"/>
      <c r="AJ734" s="150"/>
      <c r="AK734" s="150"/>
      <c r="AL734" s="150"/>
      <c r="AM734" s="150"/>
      <c r="AN734" s="150"/>
      <c r="AO734" s="150"/>
      <c r="AP734" s="150"/>
      <c r="AQ734" s="150"/>
      <c r="AT734" s="186"/>
      <c r="AU734" s="186"/>
      <c r="AV734" s="186"/>
      <c r="AW734" s="186"/>
      <c r="AX734" s="186"/>
      <c r="AY734" s="186"/>
      <c r="AZ734" s="186"/>
      <c r="BA734" s="186"/>
      <c r="BB734" s="186"/>
      <c r="BC734" s="186"/>
      <c r="BD734" s="186"/>
      <c r="BE734" s="186"/>
      <c r="BF734" s="150"/>
      <c r="BG734" s="150"/>
    </row>
    <row r="735" spans="3:59" ht="14.6">
      <c r="C735" s="289"/>
      <c r="D735" s="150"/>
      <c r="E735" s="150"/>
      <c r="F735" s="150"/>
      <c r="G735" s="150"/>
      <c r="H735" s="150"/>
      <c r="I735" s="150"/>
      <c r="J735" s="150"/>
      <c r="K735" s="150"/>
      <c r="L735" s="150"/>
      <c r="M735" s="150"/>
      <c r="N735" s="150"/>
      <c r="O735" s="150"/>
      <c r="P735" s="150"/>
      <c r="Q735" s="150"/>
      <c r="R735" s="150"/>
      <c r="S735" s="150"/>
      <c r="T735" s="186"/>
      <c r="U735" s="186"/>
      <c r="V735" s="186"/>
      <c r="W735" s="186"/>
      <c r="X735" s="186"/>
      <c r="Y735" s="186"/>
      <c r="Z735" s="186"/>
      <c r="AA735" s="186"/>
      <c r="AB735" s="186"/>
      <c r="AC735" s="186"/>
      <c r="AD735" s="186"/>
      <c r="AF735" s="150"/>
      <c r="AG735" s="150"/>
      <c r="AH735" s="150"/>
      <c r="AI735" s="150"/>
      <c r="AJ735" s="150"/>
      <c r="AK735" s="150"/>
      <c r="AL735" s="150"/>
      <c r="AM735" s="150"/>
      <c r="AN735" s="150"/>
      <c r="AO735" s="150"/>
      <c r="AP735" s="150"/>
      <c r="AQ735" s="150"/>
      <c r="AT735" s="186"/>
      <c r="AU735" s="186"/>
      <c r="AV735" s="186"/>
      <c r="AW735" s="186"/>
      <c r="AX735" s="186"/>
      <c r="AY735" s="186"/>
      <c r="AZ735" s="186"/>
      <c r="BA735" s="186"/>
      <c r="BB735" s="186"/>
      <c r="BC735" s="186"/>
      <c r="BD735" s="186"/>
      <c r="BE735" s="186"/>
      <c r="BF735" s="150"/>
      <c r="BG735" s="150"/>
    </row>
    <row r="736" spans="3:59" ht="14.6">
      <c r="C736" s="289"/>
      <c r="D736" s="150"/>
      <c r="E736" s="150"/>
      <c r="F736" s="150"/>
      <c r="G736" s="150"/>
      <c r="H736" s="150"/>
      <c r="I736" s="150"/>
      <c r="J736" s="150"/>
      <c r="K736" s="150"/>
      <c r="L736" s="150"/>
      <c r="M736" s="150"/>
      <c r="N736" s="150"/>
      <c r="O736" s="150"/>
      <c r="P736" s="150"/>
      <c r="Q736" s="150"/>
      <c r="R736" s="150"/>
      <c r="S736" s="150"/>
      <c r="T736" s="186"/>
      <c r="U736" s="186"/>
      <c r="V736" s="186"/>
      <c r="W736" s="186"/>
      <c r="X736" s="186"/>
      <c r="Y736" s="186"/>
      <c r="Z736" s="186"/>
      <c r="AA736" s="186"/>
      <c r="AB736" s="186"/>
      <c r="AC736" s="186"/>
      <c r="AD736" s="186"/>
      <c r="AF736" s="150"/>
      <c r="AG736" s="150"/>
      <c r="AH736" s="150"/>
      <c r="AI736" s="150"/>
      <c r="AJ736" s="150"/>
      <c r="AK736" s="150"/>
      <c r="AL736" s="150"/>
      <c r="AM736" s="150"/>
      <c r="AN736" s="150"/>
      <c r="AO736" s="150"/>
      <c r="AP736" s="150"/>
      <c r="AQ736" s="150"/>
      <c r="AT736" s="186"/>
      <c r="AU736" s="186"/>
      <c r="AV736" s="186"/>
      <c r="AW736" s="186"/>
      <c r="AX736" s="186"/>
      <c r="AY736" s="186"/>
      <c r="AZ736" s="186"/>
      <c r="BA736" s="186"/>
      <c r="BB736" s="186"/>
      <c r="BC736" s="186"/>
      <c r="BD736" s="186"/>
      <c r="BE736" s="186"/>
      <c r="BF736" s="150"/>
      <c r="BG736" s="150"/>
    </row>
    <row r="737" spans="3:59" ht="14.6">
      <c r="C737" s="289"/>
      <c r="D737" s="150"/>
      <c r="E737" s="150"/>
      <c r="F737" s="150"/>
      <c r="G737" s="150"/>
      <c r="H737" s="150"/>
      <c r="I737" s="150"/>
      <c r="J737" s="150"/>
      <c r="K737" s="150"/>
      <c r="L737" s="150"/>
      <c r="M737" s="150"/>
      <c r="N737" s="150"/>
      <c r="O737" s="150"/>
      <c r="P737" s="150"/>
      <c r="Q737" s="150"/>
      <c r="R737" s="150"/>
      <c r="S737" s="150"/>
      <c r="T737" s="186"/>
      <c r="U737" s="186"/>
      <c r="V737" s="186"/>
      <c r="W737" s="186"/>
      <c r="X737" s="186"/>
      <c r="Y737" s="186"/>
      <c r="Z737" s="186"/>
      <c r="AA737" s="186"/>
      <c r="AB737" s="186"/>
      <c r="AC737" s="186"/>
      <c r="AD737" s="186"/>
      <c r="AF737" s="150"/>
      <c r="AG737" s="150"/>
      <c r="AH737" s="150"/>
      <c r="AI737" s="150"/>
      <c r="AJ737" s="150"/>
      <c r="AK737" s="150"/>
      <c r="AL737" s="150"/>
      <c r="AM737" s="150"/>
      <c r="AN737" s="150"/>
      <c r="AO737" s="150"/>
      <c r="AP737" s="150"/>
      <c r="AQ737" s="150"/>
      <c r="AT737" s="186"/>
      <c r="AU737" s="186"/>
      <c r="AV737" s="186"/>
      <c r="AW737" s="186"/>
      <c r="AX737" s="186"/>
      <c r="AY737" s="186"/>
      <c r="AZ737" s="186"/>
      <c r="BA737" s="186"/>
      <c r="BB737" s="186"/>
      <c r="BC737" s="186"/>
      <c r="BD737" s="186"/>
      <c r="BE737" s="186"/>
      <c r="BF737" s="150"/>
      <c r="BG737" s="150"/>
    </row>
    <row r="738" spans="3:59" ht="14.6">
      <c r="C738" s="289"/>
      <c r="D738" s="150"/>
      <c r="E738" s="150"/>
      <c r="F738" s="150"/>
      <c r="G738" s="150"/>
      <c r="H738" s="150"/>
      <c r="I738" s="150"/>
      <c r="J738" s="150"/>
      <c r="K738" s="150"/>
      <c r="L738" s="150"/>
      <c r="M738" s="150"/>
      <c r="N738" s="150"/>
      <c r="O738" s="150"/>
      <c r="P738" s="150"/>
      <c r="Q738" s="150"/>
      <c r="R738" s="150"/>
      <c r="S738" s="150"/>
      <c r="T738" s="186"/>
      <c r="U738" s="186"/>
      <c r="V738" s="186"/>
      <c r="W738" s="186"/>
      <c r="X738" s="186"/>
      <c r="Y738" s="186"/>
      <c r="Z738" s="186"/>
      <c r="AA738" s="186"/>
      <c r="AB738" s="186"/>
      <c r="AC738" s="186"/>
      <c r="AD738" s="186"/>
      <c r="AF738" s="150"/>
      <c r="AG738" s="150"/>
      <c r="AH738" s="150"/>
      <c r="AI738" s="150"/>
      <c r="AJ738" s="150"/>
      <c r="AK738" s="150"/>
      <c r="AL738" s="150"/>
      <c r="AM738" s="150"/>
      <c r="AN738" s="150"/>
      <c r="AO738" s="150"/>
      <c r="AP738" s="150"/>
      <c r="AQ738" s="150"/>
      <c r="AT738" s="186"/>
      <c r="AU738" s="186"/>
      <c r="AV738" s="186"/>
      <c r="AW738" s="186"/>
      <c r="AX738" s="186"/>
      <c r="AY738" s="186"/>
      <c r="AZ738" s="186"/>
      <c r="BA738" s="186"/>
      <c r="BB738" s="186"/>
      <c r="BC738" s="186"/>
      <c r="BD738" s="186"/>
      <c r="BE738" s="186"/>
      <c r="BF738" s="150"/>
      <c r="BG738" s="150"/>
    </row>
    <row r="739" spans="3:59" ht="14.6">
      <c r="C739" s="289"/>
      <c r="D739" s="150"/>
      <c r="E739" s="150"/>
      <c r="F739" s="150"/>
      <c r="G739" s="150"/>
      <c r="H739" s="150"/>
      <c r="I739" s="150"/>
      <c r="J739" s="150"/>
      <c r="K739" s="150"/>
      <c r="L739" s="150"/>
      <c r="M739" s="150"/>
      <c r="N739" s="150"/>
      <c r="O739" s="150"/>
      <c r="P739" s="150"/>
      <c r="Q739" s="150"/>
      <c r="R739" s="150"/>
      <c r="S739" s="150"/>
      <c r="T739" s="186"/>
      <c r="U739" s="186"/>
      <c r="V739" s="186"/>
      <c r="W739" s="186"/>
      <c r="X739" s="186"/>
      <c r="Y739" s="186"/>
      <c r="Z739" s="186"/>
      <c r="AA739" s="186"/>
      <c r="AB739" s="186"/>
      <c r="AC739" s="186"/>
      <c r="AD739" s="186"/>
      <c r="AF739" s="150"/>
      <c r="AG739" s="150"/>
      <c r="AH739" s="150"/>
      <c r="AI739" s="150"/>
      <c r="AJ739" s="150"/>
      <c r="AK739" s="150"/>
      <c r="AL739" s="150"/>
      <c r="AM739" s="150"/>
      <c r="AN739" s="150"/>
      <c r="AO739" s="150"/>
      <c r="AP739" s="150"/>
      <c r="AQ739" s="150"/>
      <c r="AT739" s="186"/>
      <c r="AU739" s="186"/>
      <c r="AV739" s="186"/>
      <c r="AW739" s="186"/>
      <c r="AX739" s="186"/>
      <c r="AY739" s="186"/>
      <c r="AZ739" s="186"/>
      <c r="BA739" s="186"/>
      <c r="BB739" s="186"/>
      <c r="BC739" s="186"/>
      <c r="BD739" s="186"/>
      <c r="BE739" s="186"/>
      <c r="BF739" s="150"/>
      <c r="BG739" s="150"/>
    </row>
    <row r="740" spans="3:59" ht="14.6">
      <c r="C740" s="289"/>
      <c r="D740" s="150"/>
      <c r="E740" s="150"/>
      <c r="F740" s="150"/>
      <c r="G740" s="150"/>
      <c r="H740" s="150"/>
      <c r="I740" s="150"/>
      <c r="J740" s="150"/>
      <c r="K740" s="150"/>
      <c r="L740" s="150"/>
      <c r="M740" s="150"/>
      <c r="N740" s="150"/>
      <c r="O740" s="150"/>
      <c r="P740" s="150"/>
      <c r="Q740" s="150"/>
      <c r="R740" s="150"/>
      <c r="S740" s="150"/>
      <c r="T740" s="186"/>
      <c r="U740" s="186"/>
      <c r="V740" s="186"/>
      <c r="W740" s="186"/>
      <c r="X740" s="186"/>
      <c r="Y740" s="186"/>
      <c r="Z740" s="186"/>
      <c r="AA740" s="186"/>
      <c r="AB740" s="186"/>
      <c r="AC740" s="186"/>
      <c r="AD740" s="186"/>
      <c r="AF740" s="150"/>
      <c r="AG740" s="150"/>
      <c r="AH740" s="150"/>
      <c r="AI740" s="150"/>
      <c r="AJ740" s="150"/>
      <c r="AK740" s="150"/>
      <c r="AL740" s="150"/>
      <c r="AM740" s="150"/>
      <c r="AN740" s="150"/>
      <c r="AO740" s="150"/>
      <c r="AP740" s="150"/>
      <c r="AQ740" s="150"/>
      <c r="AT740" s="186"/>
      <c r="AU740" s="186"/>
      <c r="AV740" s="186"/>
      <c r="AW740" s="186"/>
      <c r="AX740" s="186"/>
      <c r="AY740" s="186"/>
      <c r="AZ740" s="186"/>
      <c r="BA740" s="186"/>
      <c r="BB740" s="186"/>
      <c r="BC740" s="186"/>
      <c r="BD740" s="186"/>
      <c r="BE740" s="186"/>
      <c r="BF740" s="150"/>
      <c r="BG740" s="150"/>
    </row>
    <row r="741" spans="3:59" ht="14.6">
      <c r="C741" s="289"/>
      <c r="D741" s="150"/>
      <c r="E741" s="150"/>
      <c r="F741" s="150"/>
      <c r="G741" s="150"/>
      <c r="H741" s="150"/>
      <c r="I741" s="150"/>
      <c r="J741" s="150"/>
      <c r="K741" s="150"/>
      <c r="L741" s="150"/>
      <c r="M741" s="150"/>
      <c r="N741" s="150"/>
      <c r="O741" s="150"/>
      <c r="P741" s="150"/>
      <c r="Q741" s="150"/>
      <c r="R741" s="150"/>
      <c r="S741" s="150"/>
      <c r="T741" s="186"/>
      <c r="U741" s="186"/>
      <c r="V741" s="186"/>
      <c r="W741" s="186"/>
      <c r="X741" s="186"/>
      <c r="Y741" s="186"/>
      <c r="Z741" s="186"/>
      <c r="AA741" s="186"/>
      <c r="AB741" s="186"/>
      <c r="AC741" s="186"/>
      <c r="AD741" s="186"/>
      <c r="AF741" s="150"/>
      <c r="AG741" s="150"/>
      <c r="AH741" s="150"/>
      <c r="AI741" s="150"/>
      <c r="AJ741" s="150"/>
      <c r="AK741" s="150"/>
      <c r="AL741" s="150"/>
      <c r="AM741" s="150"/>
      <c r="AN741" s="150"/>
      <c r="AO741" s="150"/>
      <c r="AP741" s="150"/>
      <c r="AQ741" s="150"/>
      <c r="AT741" s="186"/>
      <c r="AU741" s="186"/>
      <c r="AV741" s="186"/>
      <c r="AW741" s="186"/>
      <c r="AX741" s="186"/>
      <c r="AY741" s="186"/>
      <c r="AZ741" s="186"/>
      <c r="BA741" s="186"/>
      <c r="BB741" s="186"/>
      <c r="BC741" s="186"/>
      <c r="BD741" s="186"/>
      <c r="BE741" s="186"/>
      <c r="BF741" s="150"/>
      <c r="BG741" s="150"/>
    </row>
    <row r="742" spans="3:59" ht="14.6">
      <c r="C742" s="289"/>
      <c r="D742" s="150"/>
      <c r="E742" s="150"/>
      <c r="F742" s="150"/>
      <c r="G742" s="150"/>
      <c r="H742" s="150"/>
      <c r="I742" s="150"/>
      <c r="J742" s="150"/>
      <c r="K742" s="150"/>
      <c r="L742" s="150"/>
      <c r="M742" s="150"/>
      <c r="N742" s="150"/>
      <c r="O742" s="150"/>
      <c r="P742" s="150"/>
      <c r="Q742" s="150"/>
      <c r="R742" s="150"/>
      <c r="S742" s="150"/>
      <c r="T742" s="186"/>
      <c r="U742" s="186"/>
      <c r="V742" s="186"/>
      <c r="W742" s="186"/>
      <c r="X742" s="186"/>
      <c r="Y742" s="186"/>
      <c r="Z742" s="186"/>
      <c r="AA742" s="186"/>
      <c r="AB742" s="186"/>
      <c r="AC742" s="186"/>
      <c r="AD742" s="186"/>
      <c r="AF742" s="150"/>
      <c r="AG742" s="150"/>
      <c r="AH742" s="150"/>
      <c r="AI742" s="150"/>
      <c r="AJ742" s="150"/>
      <c r="AK742" s="150"/>
      <c r="AL742" s="150"/>
      <c r="AM742" s="150"/>
      <c r="AN742" s="150"/>
      <c r="AO742" s="150"/>
      <c r="AP742" s="150"/>
      <c r="AQ742" s="150"/>
      <c r="AT742" s="186"/>
      <c r="AU742" s="186"/>
      <c r="AV742" s="186"/>
      <c r="AW742" s="186"/>
      <c r="AX742" s="186"/>
      <c r="AY742" s="186"/>
      <c r="AZ742" s="186"/>
      <c r="BA742" s="186"/>
      <c r="BB742" s="186"/>
      <c r="BC742" s="186"/>
      <c r="BD742" s="186"/>
      <c r="BE742" s="186"/>
      <c r="BF742" s="150"/>
      <c r="BG742" s="150"/>
    </row>
    <row r="743" spans="3:59" ht="14.6">
      <c r="C743" s="289"/>
      <c r="D743" s="150"/>
      <c r="E743" s="150"/>
      <c r="F743" s="150"/>
      <c r="G743" s="150"/>
      <c r="H743" s="150"/>
      <c r="I743" s="150"/>
      <c r="J743" s="150"/>
      <c r="K743" s="150"/>
      <c r="L743" s="150"/>
      <c r="M743" s="150"/>
      <c r="N743" s="150"/>
      <c r="O743" s="150"/>
      <c r="P743" s="150"/>
      <c r="Q743" s="150"/>
      <c r="R743" s="150"/>
      <c r="S743" s="150"/>
      <c r="T743" s="186"/>
      <c r="U743" s="186"/>
      <c r="V743" s="186"/>
      <c r="W743" s="186"/>
      <c r="X743" s="186"/>
      <c r="Y743" s="186"/>
      <c r="Z743" s="186"/>
      <c r="AA743" s="186"/>
      <c r="AB743" s="186"/>
      <c r="AC743" s="186"/>
      <c r="AD743" s="186"/>
      <c r="AF743" s="150"/>
      <c r="AG743" s="150"/>
      <c r="AH743" s="150"/>
      <c r="AI743" s="150"/>
      <c r="AJ743" s="150"/>
      <c r="AK743" s="150"/>
      <c r="AL743" s="150"/>
      <c r="AM743" s="150"/>
      <c r="AN743" s="150"/>
      <c r="AO743" s="150"/>
      <c r="AP743" s="150"/>
      <c r="AQ743" s="150"/>
      <c r="AT743" s="186"/>
      <c r="AU743" s="186"/>
      <c r="AV743" s="186"/>
      <c r="AW743" s="186"/>
      <c r="AX743" s="186"/>
      <c r="AY743" s="186"/>
      <c r="AZ743" s="186"/>
      <c r="BA743" s="186"/>
      <c r="BB743" s="186"/>
      <c r="BC743" s="186"/>
      <c r="BD743" s="186"/>
      <c r="BE743" s="186"/>
      <c r="BF743" s="150"/>
      <c r="BG743" s="150"/>
    </row>
    <row r="744" spans="3:59" ht="14.6">
      <c r="C744" s="289"/>
      <c r="D744" s="150"/>
      <c r="E744" s="150"/>
      <c r="F744" s="150"/>
      <c r="G744" s="150"/>
      <c r="H744" s="150"/>
      <c r="I744" s="150"/>
      <c r="J744" s="150"/>
      <c r="K744" s="150"/>
      <c r="L744" s="150"/>
      <c r="M744" s="150"/>
      <c r="N744" s="150"/>
      <c r="O744" s="150"/>
      <c r="P744" s="150"/>
      <c r="Q744" s="150"/>
      <c r="R744" s="150"/>
      <c r="S744" s="150"/>
      <c r="T744" s="186"/>
      <c r="U744" s="186"/>
      <c r="V744" s="186"/>
      <c r="W744" s="186"/>
      <c r="X744" s="186"/>
      <c r="Y744" s="186"/>
      <c r="Z744" s="186"/>
      <c r="AA744" s="186"/>
      <c r="AB744" s="186"/>
      <c r="AC744" s="186"/>
      <c r="AD744" s="186"/>
      <c r="AF744" s="150"/>
      <c r="AG744" s="150"/>
      <c r="AH744" s="150"/>
      <c r="AI744" s="150"/>
      <c r="AJ744" s="150"/>
      <c r="AK744" s="150"/>
      <c r="AL744" s="150"/>
      <c r="AM744" s="150"/>
      <c r="AN744" s="150"/>
      <c r="AO744" s="150"/>
      <c r="AP744" s="150"/>
      <c r="AQ744" s="150"/>
      <c r="AT744" s="186"/>
      <c r="AU744" s="186"/>
      <c r="AV744" s="186"/>
      <c r="AW744" s="186"/>
      <c r="AX744" s="186"/>
      <c r="AY744" s="186"/>
      <c r="AZ744" s="186"/>
      <c r="BA744" s="186"/>
      <c r="BB744" s="186"/>
      <c r="BC744" s="186"/>
      <c r="BD744" s="186"/>
      <c r="BE744" s="186"/>
      <c r="BF744" s="150"/>
      <c r="BG744" s="150"/>
    </row>
    <row r="745" spans="3:59" ht="14.6">
      <c r="C745" s="289"/>
      <c r="D745" s="150"/>
      <c r="E745" s="150"/>
      <c r="F745" s="150"/>
      <c r="G745" s="150"/>
      <c r="H745" s="150"/>
      <c r="I745" s="150"/>
      <c r="J745" s="150"/>
      <c r="K745" s="150"/>
      <c r="L745" s="150"/>
      <c r="M745" s="150"/>
      <c r="N745" s="150"/>
      <c r="O745" s="150"/>
      <c r="P745" s="150"/>
      <c r="Q745" s="150"/>
      <c r="R745" s="150"/>
      <c r="S745" s="150"/>
      <c r="T745" s="186"/>
      <c r="U745" s="186"/>
      <c r="V745" s="186"/>
      <c r="W745" s="186"/>
      <c r="X745" s="186"/>
      <c r="Y745" s="186"/>
      <c r="Z745" s="186"/>
      <c r="AA745" s="186"/>
      <c r="AB745" s="186"/>
      <c r="AC745" s="186"/>
      <c r="AD745" s="186"/>
      <c r="AF745" s="150"/>
      <c r="AG745" s="150"/>
      <c r="AH745" s="150"/>
      <c r="AI745" s="150"/>
      <c r="AJ745" s="150"/>
      <c r="AK745" s="150"/>
      <c r="AL745" s="150"/>
      <c r="AM745" s="150"/>
      <c r="AN745" s="150"/>
      <c r="AO745" s="150"/>
      <c r="AP745" s="150"/>
      <c r="AQ745" s="150"/>
      <c r="AT745" s="186"/>
      <c r="AU745" s="186"/>
      <c r="AV745" s="186"/>
      <c r="AW745" s="186"/>
      <c r="AX745" s="186"/>
      <c r="AY745" s="186"/>
      <c r="AZ745" s="186"/>
      <c r="BA745" s="186"/>
      <c r="BB745" s="186"/>
      <c r="BC745" s="186"/>
      <c r="BD745" s="186"/>
      <c r="BE745" s="186"/>
      <c r="BF745" s="150"/>
      <c r="BG745" s="150"/>
    </row>
    <row r="746" spans="3:59" ht="14.6">
      <c r="C746" s="289"/>
      <c r="D746" s="150"/>
      <c r="E746" s="150"/>
      <c r="F746" s="150"/>
      <c r="G746" s="150"/>
      <c r="H746" s="150"/>
      <c r="I746" s="150"/>
      <c r="J746" s="150"/>
      <c r="K746" s="150"/>
      <c r="L746" s="150"/>
      <c r="M746" s="150"/>
      <c r="N746" s="150"/>
      <c r="O746" s="150"/>
      <c r="P746" s="150"/>
      <c r="Q746" s="150"/>
      <c r="R746" s="150"/>
      <c r="S746" s="150"/>
      <c r="T746" s="186"/>
      <c r="U746" s="186"/>
      <c r="V746" s="186"/>
      <c r="W746" s="186"/>
      <c r="X746" s="186"/>
      <c r="Y746" s="186"/>
      <c r="Z746" s="186"/>
      <c r="AA746" s="186"/>
      <c r="AB746" s="186"/>
      <c r="AC746" s="186"/>
      <c r="AD746" s="186"/>
      <c r="AF746" s="150"/>
      <c r="AG746" s="150"/>
      <c r="AH746" s="150"/>
      <c r="AI746" s="150"/>
      <c r="AJ746" s="150"/>
      <c r="AK746" s="150"/>
      <c r="AL746" s="150"/>
      <c r="AM746" s="150"/>
      <c r="AN746" s="150"/>
      <c r="AO746" s="150"/>
      <c r="AP746" s="150"/>
      <c r="AQ746" s="150"/>
      <c r="AT746" s="186"/>
      <c r="AU746" s="186"/>
      <c r="AV746" s="186"/>
      <c r="AW746" s="186"/>
      <c r="AX746" s="186"/>
      <c r="AY746" s="186"/>
      <c r="AZ746" s="186"/>
      <c r="BA746" s="186"/>
      <c r="BB746" s="186"/>
      <c r="BC746" s="186"/>
      <c r="BD746" s="186"/>
      <c r="BE746" s="186"/>
      <c r="BF746" s="150"/>
      <c r="BG746" s="150"/>
    </row>
    <row r="747" spans="3:59" ht="14.6">
      <c r="C747" s="289"/>
      <c r="D747" s="150"/>
      <c r="E747" s="150"/>
      <c r="F747" s="150"/>
      <c r="G747" s="150"/>
      <c r="H747" s="150"/>
      <c r="I747" s="150"/>
      <c r="J747" s="150"/>
      <c r="K747" s="150"/>
      <c r="L747" s="150"/>
      <c r="M747" s="150"/>
      <c r="N747" s="150"/>
      <c r="O747" s="150"/>
      <c r="P747" s="150"/>
      <c r="Q747" s="150"/>
      <c r="R747" s="150"/>
      <c r="S747" s="150"/>
      <c r="T747" s="186"/>
      <c r="U747" s="186"/>
      <c r="V747" s="186"/>
      <c r="W747" s="186"/>
      <c r="X747" s="186"/>
      <c r="Y747" s="186"/>
      <c r="Z747" s="186"/>
      <c r="AA747" s="186"/>
      <c r="AB747" s="186"/>
      <c r="AC747" s="186"/>
      <c r="AD747" s="186"/>
      <c r="AF747" s="150"/>
      <c r="AG747" s="150"/>
      <c r="AH747" s="150"/>
      <c r="AI747" s="150"/>
      <c r="AJ747" s="150"/>
      <c r="AK747" s="150"/>
      <c r="AL747" s="150"/>
      <c r="AM747" s="150"/>
      <c r="AN747" s="150"/>
      <c r="AO747" s="150"/>
      <c r="AP747" s="150"/>
      <c r="AQ747" s="150"/>
      <c r="AT747" s="186"/>
      <c r="AU747" s="186"/>
      <c r="AV747" s="186"/>
      <c r="AW747" s="186"/>
      <c r="AX747" s="186"/>
      <c r="AY747" s="186"/>
      <c r="AZ747" s="186"/>
      <c r="BA747" s="186"/>
      <c r="BB747" s="186"/>
      <c r="BC747" s="186"/>
      <c r="BD747" s="186"/>
      <c r="BE747" s="186"/>
      <c r="BF747" s="150"/>
      <c r="BG747" s="150"/>
    </row>
    <row r="748" spans="3:59" ht="14.6">
      <c r="C748" s="289"/>
      <c r="D748" s="150"/>
      <c r="E748" s="150"/>
      <c r="F748" s="150"/>
      <c r="G748" s="150"/>
      <c r="H748" s="150"/>
      <c r="I748" s="150"/>
      <c r="J748" s="150"/>
      <c r="K748" s="150"/>
      <c r="L748" s="150"/>
      <c r="M748" s="150"/>
      <c r="N748" s="150"/>
      <c r="O748" s="150"/>
      <c r="P748" s="150"/>
      <c r="Q748" s="150"/>
      <c r="R748" s="150"/>
      <c r="S748" s="150"/>
      <c r="T748" s="186"/>
      <c r="U748" s="186"/>
      <c r="V748" s="186"/>
      <c r="W748" s="186"/>
      <c r="X748" s="186"/>
      <c r="Y748" s="186"/>
      <c r="Z748" s="186"/>
      <c r="AA748" s="186"/>
      <c r="AB748" s="186"/>
      <c r="AC748" s="186"/>
      <c r="AD748" s="186"/>
      <c r="AF748" s="150"/>
      <c r="AG748" s="150"/>
      <c r="AH748" s="150"/>
      <c r="AI748" s="150"/>
      <c r="AJ748" s="150"/>
      <c r="AK748" s="150"/>
      <c r="AL748" s="150"/>
      <c r="AM748" s="150"/>
      <c r="AN748" s="150"/>
      <c r="AO748" s="150"/>
      <c r="AP748" s="150"/>
      <c r="AQ748" s="150"/>
      <c r="AT748" s="186"/>
      <c r="AU748" s="186"/>
      <c r="AV748" s="186"/>
      <c r="AW748" s="186"/>
      <c r="AX748" s="186"/>
      <c r="AY748" s="186"/>
      <c r="AZ748" s="186"/>
      <c r="BA748" s="186"/>
      <c r="BB748" s="186"/>
      <c r="BC748" s="186"/>
      <c r="BD748" s="186"/>
      <c r="BE748" s="186"/>
      <c r="BF748" s="150"/>
      <c r="BG748" s="150"/>
    </row>
    <row r="749" spans="3:59" ht="14.6">
      <c r="C749" s="289"/>
      <c r="D749" s="150"/>
      <c r="E749" s="150"/>
      <c r="F749" s="150"/>
      <c r="G749" s="150"/>
      <c r="H749" s="150"/>
      <c r="I749" s="150"/>
      <c r="J749" s="150"/>
      <c r="K749" s="150"/>
      <c r="L749" s="150"/>
      <c r="M749" s="150"/>
      <c r="N749" s="150"/>
      <c r="O749" s="150"/>
      <c r="P749" s="150"/>
      <c r="Q749" s="150"/>
      <c r="R749" s="150"/>
      <c r="S749" s="150"/>
      <c r="T749" s="186"/>
      <c r="U749" s="186"/>
      <c r="V749" s="186"/>
      <c r="W749" s="186"/>
      <c r="X749" s="186"/>
      <c r="Y749" s="186"/>
      <c r="Z749" s="186"/>
      <c r="AA749" s="186"/>
      <c r="AB749" s="186"/>
      <c r="AC749" s="186"/>
      <c r="AD749" s="186"/>
      <c r="AF749" s="150"/>
      <c r="AG749" s="150"/>
      <c r="AH749" s="150"/>
      <c r="AI749" s="150"/>
      <c r="AJ749" s="150"/>
      <c r="AK749" s="150"/>
      <c r="AL749" s="150"/>
      <c r="AM749" s="150"/>
      <c r="AN749" s="150"/>
      <c r="AO749" s="150"/>
      <c r="AP749" s="150"/>
      <c r="AQ749" s="150"/>
      <c r="AT749" s="186"/>
      <c r="AU749" s="186"/>
      <c r="AV749" s="186"/>
      <c r="AW749" s="186"/>
      <c r="AX749" s="186"/>
      <c r="AY749" s="186"/>
      <c r="AZ749" s="186"/>
      <c r="BA749" s="186"/>
      <c r="BB749" s="186"/>
      <c r="BC749" s="186"/>
      <c r="BD749" s="186"/>
      <c r="BE749" s="186"/>
      <c r="BF749" s="150"/>
      <c r="BG749" s="150"/>
    </row>
    <row r="750" spans="3:59" ht="14.6">
      <c r="C750" s="289"/>
      <c r="D750" s="150"/>
      <c r="E750" s="150"/>
      <c r="F750" s="150"/>
      <c r="G750" s="150"/>
      <c r="H750" s="150"/>
      <c r="I750" s="150"/>
      <c r="J750" s="150"/>
      <c r="K750" s="150"/>
      <c r="L750" s="150"/>
      <c r="M750" s="150"/>
      <c r="N750" s="150"/>
      <c r="O750" s="150"/>
      <c r="P750" s="150"/>
      <c r="Q750" s="150"/>
      <c r="R750" s="150"/>
      <c r="S750" s="150"/>
      <c r="T750" s="186"/>
      <c r="U750" s="186"/>
      <c r="V750" s="186"/>
      <c r="W750" s="186"/>
      <c r="X750" s="186"/>
      <c r="Y750" s="186"/>
      <c r="Z750" s="186"/>
      <c r="AA750" s="186"/>
      <c r="AB750" s="186"/>
      <c r="AC750" s="186"/>
      <c r="AD750" s="186"/>
      <c r="AF750" s="150"/>
      <c r="AG750" s="150"/>
      <c r="AH750" s="150"/>
      <c r="AI750" s="150"/>
      <c r="AJ750" s="150"/>
      <c r="AK750" s="150"/>
      <c r="AL750" s="150"/>
      <c r="AM750" s="150"/>
      <c r="AN750" s="150"/>
      <c r="AO750" s="150"/>
      <c r="AP750" s="150"/>
      <c r="AQ750" s="150"/>
      <c r="AT750" s="186"/>
      <c r="AU750" s="186"/>
      <c r="AV750" s="186"/>
      <c r="AW750" s="186"/>
      <c r="AX750" s="186"/>
      <c r="AY750" s="186"/>
      <c r="AZ750" s="186"/>
      <c r="BA750" s="186"/>
      <c r="BB750" s="186"/>
      <c r="BC750" s="186"/>
      <c r="BD750" s="186"/>
      <c r="BE750" s="186"/>
      <c r="BF750" s="150"/>
      <c r="BG750" s="150"/>
    </row>
    <row r="751" spans="3:59" ht="14.6">
      <c r="C751" s="289"/>
      <c r="D751" s="150"/>
      <c r="E751" s="150"/>
      <c r="F751" s="150"/>
      <c r="G751" s="150"/>
      <c r="H751" s="150"/>
      <c r="I751" s="150"/>
      <c r="J751" s="150"/>
      <c r="K751" s="150"/>
      <c r="L751" s="150"/>
      <c r="M751" s="150"/>
      <c r="N751" s="150"/>
      <c r="O751" s="150"/>
      <c r="P751" s="150"/>
      <c r="Q751" s="150"/>
      <c r="R751" s="150"/>
      <c r="S751" s="150"/>
      <c r="T751" s="186"/>
      <c r="U751" s="186"/>
      <c r="V751" s="186"/>
      <c r="W751" s="186"/>
      <c r="X751" s="186"/>
      <c r="Y751" s="186"/>
      <c r="Z751" s="186"/>
      <c r="AA751" s="186"/>
      <c r="AB751" s="186"/>
      <c r="AC751" s="186"/>
      <c r="AD751" s="186"/>
      <c r="AF751" s="150"/>
      <c r="AG751" s="150"/>
      <c r="AH751" s="150"/>
      <c r="AI751" s="150"/>
      <c r="AJ751" s="150"/>
      <c r="AK751" s="150"/>
      <c r="AL751" s="150"/>
      <c r="AM751" s="150"/>
      <c r="AN751" s="150"/>
      <c r="AO751" s="150"/>
      <c r="AP751" s="150"/>
      <c r="AQ751" s="150"/>
      <c r="AT751" s="186"/>
      <c r="AU751" s="186"/>
      <c r="AV751" s="186"/>
      <c r="AW751" s="186"/>
      <c r="AX751" s="186"/>
      <c r="AY751" s="186"/>
      <c r="AZ751" s="186"/>
      <c r="BA751" s="186"/>
      <c r="BB751" s="186"/>
      <c r="BC751" s="186"/>
      <c r="BD751" s="186"/>
      <c r="BE751" s="186"/>
      <c r="BF751" s="150"/>
      <c r="BG751" s="150"/>
    </row>
    <row r="752" spans="3:59" ht="14.6">
      <c r="C752" s="289"/>
      <c r="D752" s="150"/>
      <c r="E752" s="150"/>
      <c r="F752" s="150"/>
      <c r="G752" s="150"/>
      <c r="H752" s="150"/>
      <c r="I752" s="150"/>
      <c r="J752" s="150"/>
      <c r="K752" s="150"/>
      <c r="L752" s="150"/>
      <c r="M752" s="150"/>
      <c r="N752" s="150"/>
      <c r="O752" s="150"/>
      <c r="P752" s="150"/>
      <c r="Q752" s="150"/>
      <c r="R752" s="150"/>
      <c r="S752" s="150"/>
      <c r="T752" s="186"/>
      <c r="U752" s="186"/>
      <c r="V752" s="186"/>
      <c r="W752" s="186"/>
      <c r="X752" s="186"/>
      <c r="Y752" s="186"/>
      <c r="Z752" s="186"/>
      <c r="AA752" s="186"/>
      <c r="AB752" s="186"/>
      <c r="AC752" s="186"/>
      <c r="AD752" s="186"/>
      <c r="AF752" s="150"/>
      <c r="AG752" s="150"/>
      <c r="AH752" s="150"/>
      <c r="AI752" s="150"/>
      <c r="AJ752" s="150"/>
      <c r="AK752" s="150"/>
      <c r="AL752" s="150"/>
      <c r="AM752" s="150"/>
      <c r="AN752" s="150"/>
      <c r="AO752" s="150"/>
      <c r="AP752" s="150"/>
      <c r="AQ752" s="150"/>
      <c r="AT752" s="186"/>
      <c r="AU752" s="186"/>
      <c r="AV752" s="186"/>
      <c r="AW752" s="186"/>
      <c r="AX752" s="186"/>
      <c r="AY752" s="186"/>
      <c r="AZ752" s="186"/>
      <c r="BA752" s="186"/>
      <c r="BB752" s="186"/>
      <c r="BC752" s="186"/>
      <c r="BD752" s="186"/>
      <c r="BE752" s="186"/>
      <c r="BF752" s="150"/>
      <c r="BG752" s="150"/>
    </row>
    <row r="753" spans="3:59" ht="14.6">
      <c r="C753" s="289"/>
      <c r="D753" s="150"/>
      <c r="E753" s="150"/>
      <c r="F753" s="150"/>
      <c r="G753" s="150"/>
      <c r="H753" s="150"/>
      <c r="I753" s="150"/>
      <c r="J753" s="150"/>
      <c r="K753" s="150"/>
      <c r="L753" s="150"/>
      <c r="M753" s="150"/>
      <c r="N753" s="150"/>
      <c r="O753" s="150"/>
      <c r="P753" s="150"/>
      <c r="Q753" s="150"/>
      <c r="R753" s="150"/>
      <c r="S753" s="150"/>
      <c r="T753" s="186"/>
      <c r="U753" s="186"/>
      <c r="V753" s="186"/>
      <c r="W753" s="186"/>
      <c r="X753" s="186"/>
      <c r="Y753" s="186"/>
      <c r="Z753" s="186"/>
      <c r="AA753" s="186"/>
      <c r="AB753" s="186"/>
      <c r="AC753" s="186"/>
      <c r="AD753" s="186"/>
      <c r="AF753" s="150"/>
      <c r="AG753" s="150"/>
      <c r="AH753" s="150"/>
      <c r="AI753" s="150"/>
      <c r="AJ753" s="150"/>
      <c r="AK753" s="150"/>
      <c r="AL753" s="150"/>
      <c r="AM753" s="150"/>
      <c r="AN753" s="150"/>
      <c r="AO753" s="150"/>
      <c r="AP753" s="150"/>
      <c r="AQ753" s="150"/>
      <c r="AT753" s="186"/>
      <c r="AU753" s="186"/>
      <c r="AV753" s="186"/>
      <c r="AW753" s="186"/>
      <c r="AX753" s="186"/>
      <c r="AY753" s="186"/>
      <c r="AZ753" s="186"/>
      <c r="BA753" s="186"/>
      <c r="BB753" s="186"/>
      <c r="BC753" s="186"/>
      <c r="BD753" s="186"/>
      <c r="BE753" s="186"/>
      <c r="BF753" s="150"/>
      <c r="BG753" s="150"/>
    </row>
    <row r="754" spans="3:59" ht="14.6">
      <c r="C754" s="289"/>
      <c r="D754" s="150"/>
      <c r="E754" s="150"/>
      <c r="F754" s="150"/>
      <c r="G754" s="150"/>
      <c r="H754" s="150"/>
      <c r="I754" s="150"/>
      <c r="J754" s="150"/>
      <c r="K754" s="150"/>
      <c r="L754" s="150"/>
      <c r="M754" s="150"/>
      <c r="N754" s="150"/>
      <c r="O754" s="150"/>
      <c r="P754" s="150"/>
      <c r="Q754" s="150"/>
      <c r="R754" s="150"/>
      <c r="S754" s="150"/>
      <c r="T754" s="186"/>
      <c r="U754" s="186"/>
      <c r="V754" s="186"/>
      <c r="W754" s="186"/>
      <c r="X754" s="186"/>
      <c r="Y754" s="186"/>
      <c r="Z754" s="186"/>
      <c r="AA754" s="186"/>
      <c r="AB754" s="186"/>
      <c r="AC754" s="186"/>
      <c r="AD754" s="186"/>
      <c r="AF754" s="150"/>
      <c r="AG754" s="150"/>
      <c r="AH754" s="150"/>
      <c r="AI754" s="150"/>
      <c r="AJ754" s="150"/>
      <c r="AK754" s="150"/>
      <c r="AL754" s="150"/>
      <c r="AM754" s="150"/>
      <c r="AN754" s="150"/>
      <c r="AO754" s="150"/>
      <c r="AP754" s="150"/>
      <c r="AQ754" s="150"/>
      <c r="AT754" s="186"/>
      <c r="AU754" s="186"/>
      <c r="AV754" s="186"/>
      <c r="AW754" s="186"/>
      <c r="AX754" s="186"/>
      <c r="AY754" s="186"/>
      <c r="AZ754" s="186"/>
      <c r="BA754" s="186"/>
      <c r="BB754" s="186"/>
      <c r="BC754" s="186"/>
      <c r="BD754" s="186"/>
      <c r="BE754" s="186"/>
      <c r="BF754" s="150"/>
      <c r="BG754" s="150"/>
    </row>
    <row r="755" spans="3:59" ht="14.6">
      <c r="C755" s="289"/>
      <c r="D755" s="150"/>
      <c r="E755" s="150"/>
      <c r="F755" s="150"/>
      <c r="G755" s="150"/>
      <c r="H755" s="150"/>
      <c r="I755" s="150"/>
      <c r="J755" s="150"/>
      <c r="K755" s="150"/>
      <c r="L755" s="150"/>
      <c r="M755" s="150"/>
      <c r="N755" s="150"/>
      <c r="O755" s="150"/>
      <c r="P755" s="150"/>
      <c r="Q755" s="150"/>
      <c r="R755" s="150"/>
      <c r="S755" s="150"/>
      <c r="T755" s="186"/>
      <c r="U755" s="186"/>
      <c r="V755" s="186"/>
      <c r="W755" s="186"/>
      <c r="X755" s="186"/>
      <c r="Y755" s="186"/>
      <c r="Z755" s="186"/>
      <c r="AA755" s="186"/>
      <c r="AB755" s="186"/>
      <c r="AC755" s="186"/>
      <c r="AD755" s="186"/>
      <c r="AF755" s="150"/>
      <c r="AG755" s="150"/>
      <c r="AH755" s="150"/>
      <c r="AI755" s="150"/>
      <c r="AJ755" s="150"/>
      <c r="AK755" s="150"/>
      <c r="AL755" s="150"/>
      <c r="AM755" s="150"/>
      <c r="AN755" s="150"/>
      <c r="AO755" s="150"/>
      <c r="AP755" s="150"/>
      <c r="AQ755" s="150"/>
      <c r="AT755" s="186"/>
      <c r="AU755" s="186"/>
      <c r="AV755" s="186"/>
      <c r="AW755" s="186"/>
      <c r="AX755" s="186"/>
      <c r="AY755" s="186"/>
      <c r="AZ755" s="186"/>
      <c r="BA755" s="186"/>
      <c r="BB755" s="186"/>
      <c r="BC755" s="186"/>
      <c r="BD755" s="186"/>
      <c r="BE755" s="186"/>
      <c r="BF755" s="150"/>
      <c r="BG755" s="150"/>
    </row>
    <row r="756" spans="3:59" ht="14.6">
      <c r="C756" s="289"/>
      <c r="D756" s="150"/>
      <c r="E756" s="150"/>
      <c r="F756" s="150"/>
      <c r="G756" s="150"/>
      <c r="H756" s="150"/>
      <c r="I756" s="150"/>
      <c r="J756" s="150"/>
      <c r="K756" s="150"/>
      <c r="L756" s="150"/>
      <c r="M756" s="150"/>
      <c r="N756" s="150"/>
      <c r="O756" s="150"/>
      <c r="P756" s="150"/>
      <c r="Q756" s="150"/>
      <c r="R756" s="150"/>
      <c r="S756" s="150"/>
      <c r="T756" s="186"/>
      <c r="U756" s="186"/>
      <c r="V756" s="186"/>
      <c r="W756" s="186"/>
      <c r="X756" s="186"/>
      <c r="Y756" s="186"/>
      <c r="Z756" s="186"/>
      <c r="AA756" s="186"/>
      <c r="AB756" s="186"/>
      <c r="AC756" s="186"/>
      <c r="AD756" s="186"/>
      <c r="AF756" s="150"/>
      <c r="AG756" s="150"/>
      <c r="AH756" s="150"/>
      <c r="AI756" s="150"/>
      <c r="AJ756" s="150"/>
      <c r="AK756" s="150"/>
      <c r="AL756" s="150"/>
      <c r="AM756" s="150"/>
      <c r="AN756" s="150"/>
      <c r="AO756" s="150"/>
      <c r="AP756" s="150"/>
      <c r="AQ756" s="150"/>
      <c r="AT756" s="186"/>
      <c r="AU756" s="186"/>
      <c r="AV756" s="186"/>
      <c r="AW756" s="186"/>
      <c r="AX756" s="186"/>
      <c r="AY756" s="186"/>
      <c r="AZ756" s="186"/>
      <c r="BA756" s="186"/>
      <c r="BB756" s="186"/>
      <c r="BC756" s="186"/>
      <c r="BD756" s="186"/>
      <c r="BE756" s="186"/>
      <c r="BF756" s="150"/>
      <c r="BG756" s="150"/>
    </row>
    <row r="757" spans="3:59" ht="14.6">
      <c r="C757" s="289"/>
      <c r="D757" s="150"/>
      <c r="E757" s="150"/>
      <c r="F757" s="150"/>
      <c r="G757" s="150"/>
      <c r="H757" s="150"/>
      <c r="I757" s="150"/>
      <c r="J757" s="150"/>
      <c r="K757" s="150"/>
      <c r="L757" s="150"/>
      <c r="M757" s="150"/>
      <c r="N757" s="150"/>
      <c r="O757" s="150"/>
      <c r="P757" s="150"/>
      <c r="Q757" s="150"/>
      <c r="R757" s="150"/>
      <c r="S757" s="150"/>
      <c r="T757" s="186"/>
      <c r="U757" s="186"/>
      <c r="V757" s="186"/>
      <c r="W757" s="186"/>
      <c r="X757" s="186"/>
      <c r="Y757" s="186"/>
      <c r="Z757" s="186"/>
      <c r="AA757" s="186"/>
      <c r="AB757" s="186"/>
      <c r="AC757" s="186"/>
      <c r="AD757" s="186"/>
      <c r="AF757" s="150"/>
      <c r="AG757" s="150"/>
      <c r="AH757" s="150"/>
      <c r="AI757" s="150"/>
      <c r="AJ757" s="150"/>
      <c r="AK757" s="150"/>
      <c r="AL757" s="150"/>
      <c r="AM757" s="150"/>
      <c r="AN757" s="150"/>
      <c r="AO757" s="150"/>
      <c r="AP757" s="150"/>
      <c r="AQ757" s="150"/>
      <c r="AT757" s="186"/>
      <c r="AU757" s="186"/>
      <c r="AV757" s="186"/>
      <c r="AW757" s="186"/>
      <c r="AX757" s="186"/>
      <c r="AY757" s="186"/>
      <c r="AZ757" s="186"/>
      <c r="BA757" s="186"/>
      <c r="BB757" s="186"/>
      <c r="BC757" s="186"/>
      <c r="BD757" s="186"/>
      <c r="BE757" s="186"/>
      <c r="BF757" s="150"/>
      <c r="BG757" s="150"/>
    </row>
    <row r="758" spans="3:59" ht="14.6">
      <c r="C758" s="289"/>
      <c r="D758" s="150"/>
      <c r="E758" s="150"/>
      <c r="F758" s="150"/>
      <c r="G758" s="150"/>
      <c r="H758" s="150"/>
      <c r="I758" s="150"/>
      <c r="J758" s="150"/>
      <c r="K758" s="150"/>
      <c r="L758" s="150"/>
      <c r="M758" s="150"/>
      <c r="N758" s="150"/>
      <c r="O758" s="150"/>
      <c r="P758" s="150"/>
      <c r="Q758" s="150"/>
      <c r="R758" s="150"/>
      <c r="S758" s="150"/>
      <c r="T758" s="186"/>
      <c r="U758" s="186"/>
      <c r="V758" s="186"/>
      <c r="W758" s="186"/>
      <c r="X758" s="186"/>
      <c r="Y758" s="186"/>
      <c r="Z758" s="186"/>
      <c r="AA758" s="186"/>
      <c r="AB758" s="186"/>
      <c r="AC758" s="186"/>
      <c r="AD758" s="186"/>
      <c r="AF758" s="150"/>
      <c r="AG758" s="150"/>
      <c r="AH758" s="150"/>
      <c r="AI758" s="150"/>
      <c r="AJ758" s="150"/>
      <c r="AK758" s="150"/>
      <c r="AL758" s="150"/>
      <c r="AM758" s="150"/>
      <c r="AN758" s="150"/>
      <c r="AO758" s="150"/>
      <c r="AP758" s="150"/>
      <c r="AQ758" s="150"/>
      <c r="AT758" s="186"/>
      <c r="AU758" s="186"/>
      <c r="AV758" s="186"/>
      <c r="AW758" s="186"/>
      <c r="AX758" s="186"/>
      <c r="AY758" s="186"/>
      <c r="AZ758" s="186"/>
      <c r="BA758" s="186"/>
      <c r="BB758" s="186"/>
      <c r="BC758" s="186"/>
      <c r="BD758" s="186"/>
      <c r="BE758" s="186"/>
      <c r="BF758" s="150"/>
      <c r="BG758" s="150"/>
    </row>
    <row r="759" spans="3:59" ht="14.6">
      <c r="C759" s="289"/>
      <c r="D759" s="150"/>
      <c r="E759" s="150"/>
      <c r="F759" s="150"/>
      <c r="G759" s="150"/>
      <c r="H759" s="150"/>
      <c r="I759" s="150"/>
      <c r="J759" s="150"/>
      <c r="K759" s="150"/>
      <c r="L759" s="150"/>
      <c r="M759" s="150"/>
      <c r="N759" s="150"/>
      <c r="O759" s="150"/>
      <c r="P759" s="150"/>
      <c r="Q759" s="150"/>
      <c r="R759" s="150"/>
      <c r="S759" s="150"/>
      <c r="T759" s="186"/>
      <c r="U759" s="186"/>
      <c r="V759" s="186"/>
      <c r="W759" s="186"/>
      <c r="X759" s="186"/>
      <c r="Y759" s="186"/>
      <c r="Z759" s="186"/>
      <c r="AA759" s="186"/>
      <c r="AB759" s="186"/>
      <c r="AC759" s="186"/>
      <c r="AD759" s="186"/>
      <c r="AF759" s="150"/>
      <c r="AG759" s="150"/>
      <c r="AH759" s="150"/>
      <c r="AI759" s="150"/>
      <c r="AJ759" s="150"/>
      <c r="AK759" s="150"/>
      <c r="AL759" s="150"/>
      <c r="AM759" s="150"/>
      <c r="AN759" s="150"/>
      <c r="AO759" s="150"/>
      <c r="AP759" s="150"/>
      <c r="AQ759" s="150"/>
      <c r="AT759" s="186"/>
      <c r="AU759" s="186"/>
      <c r="AV759" s="186"/>
      <c r="AW759" s="186"/>
      <c r="AX759" s="186"/>
      <c r="AY759" s="186"/>
      <c r="AZ759" s="186"/>
      <c r="BA759" s="186"/>
      <c r="BB759" s="186"/>
      <c r="BC759" s="186"/>
      <c r="BD759" s="186"/>
      <c r="BE759" s="186"/>
      <c r="BF759" s="150"/>
      <c r="BG759" s="150"/>
    </row>
    <row r="760" spans="3:59" ht="14.6">
      <c r="C760" s="289"/>
      <c r="D760" s="150"/>
      <c r="E760" s="150"/>
      <c r="F760" s="150"/>
      <c r="G760" s="150"/>
      <c r="H760" s="150"/>
      <c r="I760" s="150"/>
      <c r="J760" s="150"/>
      <c r="K760" s="150"/>
      <c r="L760" s="150"/>
      <c r="M760" s="150"/>
      <c r="N760" s="150"/>
      <c r="O760" s="150"/>
      <c r="P760" s="150"/>
      <c r="Q760" s="150"/>
      <c r="R760" s="150"/>
      <c r="S760" s="150"/>
      <c r="T760" s="186"/>
      <c r="U760" s="186"/>
      <c r="V760" s="186"/>
      <c r="W760" s="186"/>
      <c r="X760" s="186"/>
      <c r="Y760" s="186"/>
      <c r="Z760" s="186"/>
      <c r="AA760" s="186"/>
      <c r="AB760" s="186"/>
      <c r="AC760" s="186"/>
      <c r="AD760" s="186"/>
      <c r="AF760" s="150"/>
      <c r="AG760" s="150"/>
      <c r="AH760" s="150"/>
      <c r="AI760" s="150"/>
      <c r="AJ760" s="150"/>
      <c r="AK760" s="150"/>
      <c r="AL760" s="150"/>
      <c r="AM760" s="150"/>
      <c r="AN760" s="150"/>
      <c r="AO760" s="150"/>
      <c r="AP760" s="150"/>
      <c r="AQ760" s="150"/>
      <c r="AT760" s="186"/>
      <c r="AU760" s="186"/>
      <c r="AV760" s="186"/>
      <c r="AW760" s="186"/>
      <c r="AX760" s="186"/>
      <c r="AY760" s="186"/>
      <c r="AZ760" s="186"/>
      <c r="BA760" s="186"/>
      <c r="BB760" s="186"/>
      <c r="BC760" s="186"/>
      <c r="BD760" s="186"/>
      <c r="BE760" s="186"/>
      <c r="BF760" s="150"/>
      <c r="BG760" s="150"/>
    </row>
    <row r="761" spans="3:59" ht="14.6">
      <c r="C761" s="289"/>
      <c r="D761" s="150"/>
      <c r="E761" s="150"/>
      <c r="F761" s="150"/>
      <c r="G761" s="150"/>
      <c r="H761" s="150"/>
      <c r="I761" s="150"/>
      <c r="J761" s="150"/>
      <c r="K761" s="150"/>
      <c r="L761" s="150"/>
      <c r="M761" s="150"/>
      <c r="N761" s="150"/>
      <c r="O761" s="150"/>
      <c r="P761" s="150"/>
      <c r="Q761" s="150"/>
      <c r="R761" s="150"/>
      <c r="S761" s="150"/>
      <c r="T761" s="186"/>
      <c r="U761" s="186"/>
      <c r="V761" s="186"/>
      <c r="W761" s="186"/>
      <c r="X761" s="186"/>
      <c r="Y761" s="186"/>
      <c r="Z761" s="186"/>
      <c r="AA761" s="186"/>
      <c r="AB761" s="186"/>
      <c r="AC761" s="186"/>
      <c r="AD761" s="186"/>
      <c r="AF761" s="150"/>
      <c r="AG761" s="150"/>
      <c r="AH761" s="150"/>
      <c r="AI761" s="150"/>
      <c r="AJ761" s="150"/>
      <c r="AK761" s="150"/>
      <c r="AL761" s="150"/>
      <c r="AM761" s="150"/>
      <c r="AN761" s="150"/>
      <c r="AO761" s="150"/>
      <c r="AP761" s="150"/>
      <c r="AQ761" s="150"/>
      <c r="AT761" s="186"/>
      <c r="AU761" s="186"/>
      <c r="AV761" s="186"/>
      <c r="AW761" s="186"/>
      <c r="AX761" s="186"/>
      <c r="AY761" s="186"/>
      <c r="AZ761" s="186"/>
      <c r="BA761" s="186"/>
      <c r="BB761" s="186"/>
      <c r="BC761" s="186"/>
      <c r="BD761" s="186"/>
      <c r="BE761" s="186"/>
      <c r="BF761" s="150"/>
      <c r="BG761" s="150"/>
    </row>
    <row r="762" spans="3:59" ht="14.6">
      <c r="C762" s="289"/>
      <c r="D762" s="150"/>
      <c r="E762" s="150"/>
      <c r="F762" s="150"/>
      <c r="G762" s="150"/>
      <c r="H762" s="150"/>
      <c r="I762" s="150"/>
      <c r="J762" s="150"/>
      <c r="K762" s="150"/>
      <c r="L762" s="150"/>
      <c r="M762" s="150"/>
      <c r="N762" s="150"/>
      <c r="O762" s="150"/>
      <c r="P762" s="150"/>
      <c r="Q762" s="150"/>
      <c r="R762" s="150"/>
      <c r="S762" s="150"/>
      <c r="T762" s="186"/>
      <c r="U762" s="186"/>
      <c r="V762" s="186"/>
      <c r="W762" s="186"/>
      <c r="X762" s="186"/>
      <c r="Y762" s="186"/>
      <c r="Z762" s="186"/>
      <c r="AA762" s="186"/>
      <c r="AB762" s="186"/>
      <c r="AC762" s="186"/>
      <c r="AD762" s="186"/>
      <c r="AF762" s="150"/>
      <c r="AG762" s="150"/>
      <c r="AH762" s="150"/>
      <c r="AI762" s="150"/>
      <c r="AJ762" s="150"/>
      <c r="AK762" s="150"/>
      <c r="AL762" s="150"/>
      <c r="AM762" s="150"/>
      <c r="AN762" s="150"/>
      <c r="AO762" s="150"/>
      <c r="AP762" s="150"/>
      <c r="AQ762" s="150"/>
      <c r="AT762" s="186"/>
      <c r="AU762" s="186"/>
      <c r="AV762" s="186"/>
      <c r="AW762" s="186"/>
      <c r="AX762" s="186"/>
      <c r="AY762" s="186"/>
      <c r="AZ762" s="186"/>
      <c r="BA762" s="186"/>
      <c r="BB762" s="186"/>
      <c r="BC762" s="186"/>
      <c r="BD762" s="186"/>
      <c r="BE762" s="186"/>
      <c r="BF762" s="150"/>
      <c r="BG762" s="150"/>
    </row>
    <row r="763" spans="3:59" ht="14.6">
      <c r="C763" s="289"/>
      <c r="D763" s="150"/>
      <c r="E763" s="150"/>
      <c r="F763" s="150"/>
      <c r="G763" s="150"/>
      <c r="H763" s="150"/>
      <c r="I763" s="150"/>
      <c r="J763" s="150"/>
      <c r="K763" s="150"/>
      <c r="L763" s="150"/>
      <c r="M763" s="150"/>
      <c r="N763" s="150"/>
      <c r="O763" s="150"/>
      <c r="P763" s="150"/>
      <c r="Q763" s="150"/>
      <c r="R763" s="150"/>
      <c r="S763" s="150"/>
      <c r="T763" s="186"/>
      <c r="U763" s="186"/>
      <c r="V763" s="186"/>
      <c r="W763" s="186"/>
      <c r="X763" s="186"/>
      <c r="Y763" s="186"/>
      <c r="Z763" s="186"/>
      <c r="AA763" s="186"/>
      <c r="AB763" s="186"/>
      <c r="AC763" s="186"/>
      <c r="AD763" s="186"/>
      <c r="AF763" s="150"/>
      <c r="AG763" s="150"/>
      <c r="AH763" s="150"/>
      <c r="AI763" s="150"/>
      <c r="AJ763" s="150"/>
      <c r="AK763" s="150"/>
      <c r="AL763" s="150"/>
      <c r="AM763" s="150"/>
      <c r="AN763" s="150"/>
      <c r="AO763" s="150"/>
      <c r="AP763" s="150"/>
      <c r="AQ763" s="150"/>
      <c r="AT763" s="186"/>
      <c r="AU763" s="186"/>
      <c r="AV763" s="186"/>
      <c r="AW763" s="186"/>
      <c r="AX763" s="186"/>
      <c r="AY763" s="186"/>
      <c r="AZ763" s="186"/>
      <c r="BA763" s="186"/>
      <c r="BB763" s="186"/>
      <c r="BC763" s="186"/>
      <c r="BD763" s="186"/>
      <c r="BE763" s="186"/>
      <c r="BF763" s="150"/>
      <c r="BG763" s="150"/>
    </row>
    <row r="764" spans="3:59" ht="14.6">
      <c r="C764" s="289"/>
      <c r="D764" s="150"/>
      <c r="E764" s="150"/>
      <c r="F764" s="150"/>
      <c r="G764" s="150"/>
      <c r="H764" s="150"/>
      <c r="I764" s="150"/>
      <c r="J764" s="150"/>
      <c r="K764" s="150"/>
      <c r="L764" s="150"/>
      <c r="M764" s="150"/>
      <c r="N764" s="150"/>
      <c r="O764" s="150"/>
      <c r="P764" s="150"/>
      <c r="Q764" s="150"/>
      <c r="R764" s="150"/>
      <c r="S764" s="150"/>
      <c r="T764" s="186"/>
      <c r="U764" s="186"/>
      <c r="V764" s="186"/>
      <c r="W764" s="186"/>
      <c r="X764" s="186"/>
      <c r="Y764" s="186"/>
      <c r="Z764" s="186"/>
      <c r="AA764" s="186"/>
      <c r="AB764" s="186"/>
      <c r="AC764" s="186"/>
      <c r="AD764" s="186"/>
      <c r="AF764" s="150"/>
      <c r="AG764" s="150"/>
      <c r="AH764" s="150"/>
      <c r="AI764" s="150"/>
      <c r="AJ764" s="150"/>
      <c r="AK764" s="150"/>
      <c r="AL764" s="150"/>
      <c r="AM764" s="150"/>
      <c r="AN764" s="150"/>
      <c r="AO764" s="150"/>
      <c r="AP764" s="150"/>
      <c r="AQ764" s="150"/>
      <c r="AT764" s="186"/>
      <c r="AU764" s="186"/>
      <c r="AV764" s="186"/>
      <c r="AW764" s="186"/>
      <c r="AX764" s="186"/>
      <c r="AY764" s="186"/>
      <c r="AZ764" s="186"/>
      <c r="BA764" s="186"/>
      <c r="BB764" s="186"/>
      <c r="BC764" s="186"/>
      <c r="BD764" s="186"/>
      <c r="BE764" s="186"/>
      <c r="BF764" s="150"/>
      <c r="BG764" s="150"/>
    </row>
    <row r="765" spans="3:59" ht="14.6">
      <c r="C765" s="289"/>
      <c r="D765" s="150"/>
      <c r="E765" s="150"/>
      <c r="F765" s="150"/>
      <c r="G765" s="150"/>
      <c r="H765" s="150"/>
      <c r="I765" s="150"/>
      <c r="J765" s="150"/>
      <c r="K765" s="150"/>
      <c r="L765" s="150"/>
      <c r="M765" s="150"/>
      <c r="N765" s="150"/>
      <c r="O765" s="150"/>
      <c r="P765" s="150"/>
      <c r="Q765" s="150"/>
      <c r="R765" s="150"/>
      <c r="S765" s="150"/>
      <c r="T765" s="186"/>
      <c r="U765" s="186"/>
      <c r="V765" s="186"/>
      <c r="W765" s="186"/>
      <c r="X765" s="186"/>
      <c r="Y765" s="186"/>
      <c r="Z765" s="186"/>
      <c r="AA765" s="186"/>
      <c r="AB765" s="186"/>
      <c r="AC765" s="186"/>
      <c r="AD765" s="186"/>
      <c r="AF765" s="150"/>
      <c r="AG765" s="150"/>
      <c r="AH765" s="150"/>
      <c r="AI765" s="150"/>
      <c r="AJ765" s="150"/>
      <c r="AK765" s="150"/>
      <c r="AL765" s="150"/>
      <c r="AM765" s="150"/>
      <c r="AN765" s="150"/>
      <c r="AO765" s="150"/>
      <c r="AP765" s="150"/>
      <c r="AQ765" s="150"/>
      <c r="AT765" s="186"/>
      <c r="AU765" s="186"/>
      <c r="AV765" s="186"/>
      <c r="AW765" s="186"/>
      <c r="AX765" s="186"/>
      <c r="AY765" s="186"/>
      <c r="AZ765" s="186"/>
      <c r="BA765" s="186"/>
      <c r="BB765" s="186"/>
      <c r="BC765" s="186"/>
      <c r="BD765" s="186"/>
      <c r="BE765" s="186"/>
      <c r="BF765" s="150"/>
      <c r="BG765" s="150"/>
    </row>
    <row r="766" spans="3:59" ht="14.6">
      <c r="C766" s="289"/>
      <c r="D766" s="150"/>
      <c r="E766" s="150"/>
      <c r="F766" s="150"/>
      <c r="G766" s="150"/>
      <c r="H766" s="150"/>
      <c r="I766" s="150"/>
      <c r="J766" s="150"/>
      <c r="K766" s="150"/>
      <c r="L766" s="150"/>
      <c r="M766" s="150"/>
      <c r="N766" s="150"/>
      <c r="O766" s="150"/>
      <c r="P766" s="150"/>
      <c r="Q766" s="150"/>
      <c r="R766" s="150"/>
      <c r="S766" s="150"/>
      <c r="T766" s="186"/>
      <c r="U766" s="186"/>
      <c r="V766" s="186"/>
      <c r="W766" s="186"/>
      <c r="X766" s="186"/>
      <c r="Y766" s="186"/>
      <c r="Z766" s="186"/>
      <c r="AA766" s="186"/>
      <c r="AB766" s="186"/>
      <c r="AC766" s="186"/>
      <c r="AD766" s="186"/>
      <c r="AF766" s="150"/>
      <c r="AG766" s="150"/>
      <c r="AH766" s="150"/>
      <c r="AI766" s="150"/>
      <c r="AJ766" s="150"/>
      <c r="AK766" s="150"/>
      <c r="AL766" s="150"/>
      <c r="AM766" s="150"/>
      <c r="AN766" s="150"/>
      <c r="AO766" s="150"/>
      <c r="AP766" s="150"/>
      <c r="AQ766" s="150"/>
      <c r="AT766" s="186"/>
      <c r="AU766" s="186"/>
      <c r="AV766" s="186"/>
      <c r="AW766" s="186"/>
      <c r="AX766" s="186"/>
      <c r="AY766" s="186"/>
      <c r="AZ766" s="186"/>
      <c r="BA766" s="186"/>
      <c r="BB766" s="186"/>
      <c r="BC766" s="186"/>
      <c r="BD766" s="186"/>
      <c r="BE766" s="186"/>
      <c r="BF766" s="150"/>
      <c r="BG766" s="150"/>
    </row>
    <row r="767" spans="3:59" ht="14.6">
      <c r="C767" s="289"/>
      <c r="D767" s="150"/>
      <c r="E767" s="150"/>
      <c r="F767" s="150"/>
      <c r="G767" s="150"/>
      <c r="H767" s="150"/>
      <c r="I767" s="150"/>
      <c r="J767" s="150"/>
      <c r="K767" s="150"/>
      <c r="L767" s="150"/>
      <c r="M767" s="150"/>
      <c r="N767" s="150"/>
      <c r="O767" s="150"/>
      <c r="P767" s="150"/>
      <c r="Q767" s="150"/>
      <c r="R767" s="150"/>
      <c r="S767" s="150"/>
      <c r="T767" s="186"/>
      <c r="U767" s="186"/>
      <c r="V767" s="186"/>
      <c r="W767" s="186"/>
      <c r="X767" s="186"/>
      <c r="Y767" s="186"/>
      <c r="Z767" s="186"/>
      <c r="AA767" s="186"/>
      <c r="AB767" s="186"/>
      <c r="AC767" s="186"/>
      <c r="AD767" s="186"/>
      <c r="AF767" s="150"/>
      <c r="AG767" s="150"/>
      <c r="AH767" s="150"/>
      <c r="AI767" s="150"/>
      <c r="AJ767" s="150"/>
      <c r="AK767" s="150"/>
      <c r="AL767" s="150"/>
      <c r="AM767" s="150"/>
      <c r="AN767" s="150"/>
      <c r="AO767" s="150"/>
      <c r="AP767" s="150"/>
      <c r="AQ767" s="150"/>
      <c r="AT767" s="186"/>
      <c r="AU767" s="186"/>
      <c r="AV767" s="186"/>
      <c r="AW767" s="186"/>
      <c r="AX767" s="186"/>
      <c r="AY767" s="186"/>
      <c r="AZ767" s="186"/>
      <c r="BA767" s="186"/>
      <c r="BB767" s="186"/>
      <c r="BC767" s="186"/>
      <c r="BD767" s="186"/>
      <c r="BE767" s="186"/>
      <c r="BF767" s="150"/>
      <c r="BG767" s="150"/>
    </row>
    <row r="768" spans="3:59" ht="14.6">
      <c r="C768" s="289"/>
      <c r="D768" s="150"/>
      <c r="E768" s="150"/>
      <c r="F768" s="150"/>
      <c r="G768" s="150"/>
      <c r="H768" s="150"/>
      <c r="I768" s="150"/>
      <c r="J768" s="150"/>
      <c r="K768" s="150"/>
      <c r="L768" s="150"/>
      <c r="M768" s="150"/>
      <c r="N768" s="150"/>
      <c r="O768" s="150"/>
      <c r="P768" s="150"/>
      <c r="Q768" s="150"/>
      <c r="R768" s="150"/>
      <c r="S768" s="150"/>
      <c r="T768" s="186"/>
      <c r="U768" s="186"/>
      <c r="V768" s="186"/>
      <c r="W768" s="186"/>
      <c r="X768" s="186"/>
      <c r="Y768" s="186"/>
      <c r="Z768" s="186"/>
      <c r="AA768" s="186"/>
      <c r="AB768" s="186"/>
      <c r="AC768" s="186"/>
      <c r="AD768" s="186"/>
      <c r="AF768" s="150"/>
      <c r="AG768" s="150"/>
      <c r="AH768" s="150"/>
      <c r="AI768" s="150"/>
      <c r="AJ768" s="150"/>
      <c r="AK768" s="150"/>
      <c r="AL768" s="150"/>
      <c r="AM768" s="150"/>
      <c r="AN768" s="150"/>
      <c r="AO768" s="150"/>
      <c r="AP768" s="150"/>
      <c r="AQ768" s="150"/>
      <c r="AT768" s="186"/>
      <c r="AU768" s="186"/>
      <c r="AV768" s="186"/>
      <c r="AW768" s="186"/>
      <c r="AX768" s="186"/>
      <c r="AY768" s="186"/>
      <c r="AZ768" s="186"/>
      <c r="BA768" s="186"/>
      <c r="BB768" s="186"/>
      <c r="BC768" s="186"/>
      <c r="BD768" s="186"/>
      <c r="BE768" s="186"/>
      <c r="BF768" s="150"/>
      <c r="BG768" s="150"/>
    </row>
    <row r="769" spans="1:59" ht="14.6">
      <c r="C769" s="289"/>
      <c r="D769" s="150"/>
      <c r="E769" s="150"/>
      <c r="F769" s="150"/>
      <c r="G769" s="150"/>
      <c r="H769" s="150"/>
      <c r="I769" s="150"/>
      <c r="J769" s="150"/>
      <c r="K769" s="150"/>
      <c r="L769" s="150"/>
      <c r="M769" s="150"/>
      <c r="N769" s="150"/>
      <c r="O769" s="150"/>
      <c r="P769" s="150"/>
      <c r="Q769" s="150"/>
      <c r="R769" s="150"/>
      <c r="S769" s="150"/>
      <c r="T769" s="186"/>
      <c r="U769" s="186"/>
      <c r="V769" s="186"/>
      <c r="W769" s="186"/>
      <c r="X769" s="186"/>
      <c r="Y769" s="186"/>
      <c r="Z769" s="186"/>
      <c r="AA769" s="186"/>
      <c r="AB769" s="186"/>
      <c r="AC769" s="186"/>
      <c r="AD769" s="186"/>
      <c r="AF769" s="150"/>
      <c r="AG769" s="150"/>
      <c r="AH769" s="150"/>
      <c r="AI769" s="150"/>
      <c r="AJ769" s="150"/>
      <c r="AK769" s="150"/>
      <c r="AL769" s="150"/>
      <c r="AM769" s="150"/>
      <c r="AN769" s="150"/>
      <c r="AO769" s="150"/>
      <c r="AP769" s="150"/>
      <c r="AQ769" s="150"/>
      <c r="AT769" s="186"/>
      <c r="AU769" s="186"/>
      <c r="AV769" s="186"/>
      <c r="AW769" s="186"/>
      <c r="AX769" s="186"/>
      <c r="AY769" s="186"/>
      <c r="AZ769" s="186"/>
      <c r="BA769" s="186"/>
      <c r="BB769" s="186"/>
      <c r="BC769" s="186"/>
      <c r="BD769" s="186"/>
      <c r="BE769" s="186"/>
      <c r="BF769" s="150"/>
      <c r="BG769" s="150"/>
    </row>
    <row r="770" spans="1:59" ht="14.6">
      <c r="C770" s="289"/>
      <c r="D770" s="150"/>
      <c r="E770" s="150"/>
      <c r="F770" s="150"/>
      <c r="G770" s="150"/>
      <c r="H770" s="150"/>
      <c r="I770" s="150"/>
      <c r="J770" s="150"/>
      <c r="K770" s="150"/>
      <c r="L770" s="150"/>
      <c r="M770" s="150"/>
      <c r="N770" s="150"/>
      <c r="O770" s="150"/>
      <c r="P770" s="150"/>
      <c r="Q770" s="150"/>
      <c r="R770" s="150"/>
      <c r="S770" s="150"/>
      <c r="T770" s="186"/>
      <c r="U770" s="186"/>
      <c r="V770" s="186"/>
      <c r="W770" s="186"/>
      <c r="X770" s="186"/>
      <c r="Y770" s="186"/>
      <c r="Z770" s="186"/>
      <c r="AA770" s="186"/>
      <c r="AB770" s="186"/>
      <c r="AC770" s="186"/>
      <c r="AD770" s="186"/>
      <c r="AF770" s="150"/>
      <c r="AG770" s="150"/>
      <c r="AH770" s="150"/>
      <c r="AI770" s="150"/>
      <c r="AJ770" s="150"/>
      <c r="AK770" s="150"/>
      <c r="AL770" s="150"/>
      <c r="AM770" s="150"/>
      <c r="AN770" s="150"/>
      <c r="AO770" s="150"/>
      <c r="AP770" s="150"/>
      <c r="AQ770" s="150"/>
      <c r="AT770" s="186"/>
      <c r="AU770" s="186"/>
      <c r="AV770" s="186"/>
      <c r="AW770" s="186"/>
      <c r="AX770" s="186"/>
      <c r="AY770" s="186"/>
      <c r="AZ770" s="186"/>
      <c r="BA770" s="186"/>
      <c r="BB770" s="186"/>
      <c r="BC770" s="186"/>
      <c r="BD770" s="186"/>
      <c r="BE770" s="186"/>
      <c r="BF770" s="150"/>
      <c r="BG770" s="150"/>
    </row>
    <row r="771" spans="1:59" ht="14.6">
      <c r="C771" s="289"/>
      <c r="D771" s="150"/>
      <c r="E771" s="150"/>
      <c r="F771" s="150"/>
      <c r="G771" s="150"/>
      <c r="H771" s="150"/>
      <c r="I771" s="150"/>
      <c r="J771" s="150"/>
      <c r="K771" s="150"/>
      <c r="L771" s="150"/>
      <c r="M771" s="150"/>
      <c r="N771" s="150"/>
      <c r="O771" s="150"/>
      <c r="P771" s="150"/>
      <c r="Q771" s="150"/>
      <c r="R771" s="150"/>
      <c r="S771" s="150"/>
      <c r="T771" s="186"/>
      <c r="U771" s="186"/>
      <c r="V771" s="186"/>
      <c r="W771" s="186"/>
      <c r="X771" s="186"/>
      <c r="Y771" s="186"/>
      <c r="Z771" s="186"/>
      <c r="AA771" s="186"/>
      <c r="AB771" s="186"/>
      <c r="AC771" s="186"/>
      <c r="AD771" s="186"/>
      <c r="AF771" s="150"/>
      <c r="AG771" s="150"/>
      <c r="AH771" s="150"/>
      <c r="AI771" s="150"/>
      <c r="AJ771" s="150"/>
      <c r="AK771" s="150"/>
      <c r="AL771" s="150"/>
      <c r="AM771" s="150"/>
      <c r="AN771" s="150"/>
      <c r="AO771" s="150"/>
      <c r="AP771" s="150"/>
      <c r="AQ771" s="150"/>
      <c r="AT771" s="186"/>
      <c r="AU771" s="186"/>
      <c r="AV771" s="186"/>
      <c r="AW771" s="186"/>
      <c r="AX771" s="186"/>
      <c r="AY771" s="186"/>
      <c r="AZ771" s="186"/>
      <c r="BA771" s="186"/>
      <c r="BB771" s="186"/>
      <c r="BC771" s="186"/>
      <c r="BD771" s="186"/>
      <c r="BE771" s="186"/>
      <c r="BF771" s="150"/>
      <c r="BG771" s="150"/>
    </row>
    <row r="772" spans="1:59" ht="14.6">
      <c r="C772" s="289"/>
      <c r="D772" s="150"/>
      <c r="E772" s="150"/>
      <c r="F772" s="150"/>
      <c r="G772" s="150"/>
      <c r="H772" s="150"/>
      <c r="I772" s="150"/>
      <c r="J772" s="150"/>
      <c r="K772" s="150"/>
      <c r="L772" s="150"/>
      <c r="M772" s="150"/>
      <c r="N772" s="150"/>
      <c r="O772" s="150"/>
      <c r="P772" s="150"/>
      <c r="Q772" s="150"/>
      <c r="R772" s="150"/>
      <c r="S772" s="150"/>
      <c r="T772" s="186"/>
      <c r="U772" s="186"/>
      <c r="V772" s="186"/>
      <c r="W772" s="186"/>
      <c r="X772" s="186"/>
      <c r="Y772" s="186"/>
      <c r="Z772" s="186"/>
      <c r="AA772" s="186"/>
      <c r="AB772" s="186"/>
      <c r="AC772" s="186"/>
      <c r="AD772" s="186"/>
      <c r="AF772" s="150"/>
      <c r="AG772" s="150"/>
      <c r="AH772" s="150"/>
      <c r="AI772" s="150"/>
      <c r="AJ772" s="150"/>
      <c r="AK772" s="150"/>
      <c r="AL772" s="150"/>
      <c r="AM772" s="150"/>
      <c r="AN772" s="150"/>
      <c r="AO772" s="150"/>
      <c r="AP772" s="150"/>
      <c r="AQ772" s="150"/>
      <c r="AT772" s="186"/>
      <c r="AU772" s="186"/>
      <c r="AV772" s="186"/>
      <c r="AW772" s="186"/>
      <c r="AX772" s="186"/>
      <c r="AY772" s="186"/>
      <c r="AZ772" s="186"/>
      <c r="BA772" s="186"/>
      <c r="BB772" s="186"/>
      <c r="BC772" s="186"/>
      <c r="BD772" s="186"/>
      <c r="BE772" s="186"/>
      <c r="BF772" s="150"/>
      <c r="BG772" s="150"/>
    </row>
    <row r="773" spans="1:59" ht="14.6">
      <c r="C773" s="289"/>
      <c r="D773" s="150"/>
      <c r="E773" s="150"/>
      <c r="F773" s="150"/>
      <c r="G773" s="150"/>
      <c r="H773" s="150"/>
      <c r="I773" s="150"/>
      <c r="J773" s="150"/>
      <c r="K773" s="150"/>
      <c r="L773" s="150"/>
      <c r="M773" s="150"/>
      <c r="N773" s="150"/>
      <c r="O773" s="150"/>
      <c r="P773" s="150"/>
      <c r="Q773" s="150"/>
      <c r="R773" s="150"/>
      <c r="S773" s="150"/>
      <c r="T773" s="186"/>
      <c r="U773" s="186"/>
      <c r="V773" s="186"/>
      <c r="W773" s="186"/>
      <c r="X773" s="186"/>
      <c r="Y773" s="186"/>
      <c r="Z773" s="186"/>
      <c r="AA773" s="186"/>
      <c r="AB773" s="186"/>
      <c r="AC773" s="186"/>
      <c r="AD773" s="186"/>
      <c r="AF773" s="150"/>
      <c r="AG773" s="150"/>
      <c r="AH773" s="150"/>
      <c r="AI773" s="150"/>
      <c r="AJ773" s="150"/>
      <c r="AK773" s="150"/>
      <c r="AL773" s="150"/>
      <c r="AM773" s="150"/>
      <c r="AN773" s="150"/>
      <c r="AO773" s="150"/>
      <c r="AP773" s="150"/>
      <c r="AQ773" s="150"/>
      <c r="AT773" s="186"/>
      <c r="AU773" s="186"/>
      <c r="AV773" s="186"/>
      <c r="AW773" s="186"/>
      <c r="AX773" s="186"/>
      <c r="AY773" s="186"/>
      <c r="AZ773" s="186"/>
      <c r="BA773" s="186"/>
      <c r="BB773" s="186"/>
      <c r="BC773" s="186"/>
      <c r="BD773" s="186"/>
      <c r="BE773" s="186"/>
      <c r="BF773" s="150"/>
      <c r="BG773" s="150"/>
    </row>
    <row r="774" spans="1:59" ht="14.6">
      <c r="C774" s="289"/>
      <c r="D774" s="150"/>
      <c r="E774" s="150"/>
      <c r="F774" s="150"/>
      <c r="G774" s="150"/>
      <c r="H774" s="150"/>
      <c r="I774" s="150"/>
      <c r="J774" s="150"/>
      <c r="K774" s="150"/>
      <c r="L774" s="150"/>
      <c r="M774" s="150"/>
      <c r="N774" s="150"/>
      <c r="O774" s="150"/>
      <c r="P774" s="150"/>
      <c r="Q774" s="150"/>
      <c r="R774" s="150"/>
      <c r="S774" s="150"/>
      <c r="T774" s="186"/>
      <c r="U774" s="186"/>
      <c r="V774" s="186"/>
      <c r="W774" s="186"/>
      <c r="X774" s="186"/>
      <c r="Y774" s="186"/>
      <c r="Z774" s="186"/>
      <c r="AA774" s="186"/>
      <c r="AB774" s="186"/>
      <c r="AC774" s="186"/>
      <c r="AD774" s="186"/>
      <c r="AF774" s="150"/>
      <c r="AG774" s="150"/>
      <c r="AH774" s="150"/>
      <c r="AI774" s="150"/>
      <c r="AJ774" s="150"/>
      <c r="AK774" s="150"/>
      <c r="AL774" s="150"/>
      <c r="AM774" s="150"/>
      <c r="AN774" s="150"/>
      <c r="AO774" s="150"/>
      <c r="AP774" s="150"/>
      <c r="AQ774" s="150"/>
      <c r="AT774" s="186"/>
      <c r="AU774" s="186"/>
      <c r="AV774" s="186"/>
      <c r="AW774" s="186"/>
      <c r="AX774" s="186"/>
      <c r="AY774" s="186"/>
      <c r="AZ774" s="186"/>
      <c r="BA774" s="186"/>
      <c r="BB774" s="186"/>
      <c r="BC774" s="186"/>
      <c r="BD774" s="186"/>
      <c r="BE774" s="186"/>
      <c r="BF774" s="150"/>
      <c r="BG774" s="150"/>
    </row>
    <row r="775" spans="1:59" ht="14.6">
      <c r="C775" s="289"/>
      <c r="D775" s="150"/>
      <c r="E775" s="150"/>
      <c r="F775" s="150"/>
      <c r="G775" s="150"/>
      <c r="H775" s="150"/>
      <c r="I775" s="150"/>
      <c r="J775" s="150"/>
      <c r="K775" s="150"/>
      <c r="L775" s="150"/>
      <c r="M775" s="150"/>
      <c r="N775" s="150"/>
      <c r="O775" s="150"/>
      <c r="P775" s="150"/>
      <c r="Q775" s="150"/>
      <c r="R775" s="150"/>
      <c r="S775" s="150"/>
      <c r="T775" s="186"/>
      <c r="U775" s="186"/>
      <c r="V775" s="186"/>
      <c r="W775" s="186"/>
      <c r="X775" s="186"/>
      <c r="Y775" s="186"/>
      <c r="Z775" s="186"/>
      <c r="AA775" s="186"/>
      <c r="AB775" s="186"/>
      <c r="AC775" s="186"/>
      <c r="AD775" s="186"/>
      <c r="AF775" s="150"/>
      <c r="AG775" s="150"/>
      <c r="AH775" s="150"/>
      <c r="AI775" s="150"/>
      <c r="AJ775" s="150"/>
      <c r="AK775" s="150"/>
      <c r="AL775" s="150"/>
      <c r="AM775" s="150"/>
      <c r="AN775" s="150"/>
      <c r="AO775" s="150"/>
      <c r="AP775" s="150"/>
      <c r="AQ775" s="150"/>
      <c r="AT775" s="186"/>
      <c r="AU775" s="186"/>
      <c r="AV775" s="186"/>
      <c r="AW775" s="186"/>
      <c r="AX775" s="186"/>
      <c r="AY775" s="186"/>
      <c r="AZ775" s="186"/>
      <c r="BA775" s="186"/>
      <c r="BB775" s="186"/>
      <c r="BC775" s="186"/>
      <c r="BD775" s="186"/>
      <c r="BE775" s="186"/>
      <c r="BF775" s="150"/>
      <c r="BG775" s="150"/>
    </row>
    <row r="776" spans="1:59" ht="14.6">
      <c r="C776" s="289"/>
      <c r="D776" s="150"/>
      <c r="E776" s="150"/>
      <c r="F776" s="150"/>
      <c r="G776" s="150"/>
      <c r="H776" s="150"/>
      <c r="I776" s="150"/>
      <c r="J776" s="150"/>
      <c r="K776" s="150"/>
      <c r="L776" s="150"/>
      <c r="M776" s="150"/>
      <c r="N776" s="150"/>
      <c r="O776" s="150"/>
      <c r="P776" s="150"/>
      <c r="Q776" s="150"/>
      <c r="R776" s="150"/>
      <c r="S776" s="150"/>
      <c r="T776" s="186"/>
      <c r="U776" s="186"/>
      <c r="V776" s="186"/>
      <c r="W776" s="186"/>
      <c r="X776" s="186"/>
      <c r="Y776" s="186"/>
      <c r="Z776" s="186"/>
      <c r="AA776" s="186"/>
      <c r="AB776" s="186"/>
      <c r="AC776" s="186"/>
      <c r="AD776" s="186"/>
      <c r="AF776" s="150"/>
      <c r="AG776" s="150"/>
      <c r="AH776" s="150"/>
      <c r="AI776" s="150"/>
      <c r="AJ776" s="150"/>
      <c r="AK776" s="150"/>
      <c r="AL776" s="150"/>
      <c r="AM776" s="150"/>
      <c r="AN776" s="150"/>
      <c r="AO776" s="150"/>
      <c r="AP776" s="150"/>
      <c r="AQ776" s="150"/>
      <c r="AT776" s="186"/>
      <c r="AU776" s="186"/>
      <c r="AV776" s="186"/>
      <c r="AW776" s="186"/>
      <c r="AX776" s="186"/>
      <c r="AY776" s="186"/>
      <c r="AZ776" s="186"/>
      <c r="BA776" s="186"/>
      <c r="BB776" s="186"/>
      <c r="BC776" s="186"/>
      <c r="BD776" s="186"/>
      <c r="BE776" s="186"/>
      <c r="BF776" s="150"/>
      <c r="BG776" s="150"/>
    </row>
    <row r="777" spans="1:59" s="245" customFormat="1" ht="14.6">
      <c r="A777" s="44"/>
      <c r="B777" s="44"/>
      <c r="C777" s="289"/>
      <c r="D777" s="150"/>
      <c r="E777" s="150"/>
      <c r="F777" s="150"/>
      <c r="G777" s="150"/>
      <c r="H777" s="150"/>
      <c r="I777" s="150"/>
      <c r="J777" s="150"/>
      <c r="K777" s="150"/>
      <c r="L777" s="150"/>
      <c r="M777" s="150"/>
      <c r="N777" s="150"/>
      <c r="O777" s="150"/>
      <c r="P777" s="150"/>
      <c r="Q777" s="150"/>
      <c r="R777" s="150"/>
      <c r="S777" s="150"/>
      <c r="T777" s="186"/>
      <c r="U777" s="186"/>
      <c r="V777" s="186"/>
      <c r="W777" s="186"/>
      <c r="X777" s="186"/>
      <c r="Y777" s="186"/>
      <c r="Z777" s="186"/>
      <c r="AA777" s="186"/>
      <c r="AB777" s="186"/>
      <c r="AC777" s="186"/>
      <c r="AD777" s="186"/>
      <c r="AE777" s="44"/>
      <c r="AF777" s="150"/>
      <c r="AG777" s="150"/>
      <c r="AH777" s="150"/>
      <c r="AI777" s="150"/>
      <c r="AJ777" s="150"/>
      <c r="AK777" s="150"/>
      <c r="AL777" s="150"/>
      <c r="AM777" s="150"/>
      <c r="AN777" s="150"/>
      <c r="AO777" s="150"/>
      <c r="AP777" s="150"/>
      <c r="AQ777" s="150"/>
      <c r="AR777" s="44"/>
      <c r="AS777" s="44"/>
      <c r="AT777" s="186"/>
      <c r="AU777" s="186"/>
      <c r="AV777" s="186"/>
      <c r="AW777" s="186"/>
      <c r="AX777" s="186"/>
      <c r="AY777" s="186"/>
      <c r="AZ777" s="186"/>
      <c r="BA777" s="186"/>
      <c r="BB777" s="186"/>
      <c r="BC777" s="186"/>
      <c r="BD777" s="186"/>
      <c r="BE777" s="186"/>
      <c r="BF777" s="150"/>
      <c r="BG777" s="150"/>
    </row>
    <row r="778" spans="1:59" ht="14.6">
      <c r="C778" s="289"/>
      <c r="D778" s="150"/>
      <c r="E778" s="150"/>
      <c r="F778" s="150"/>
      <c r="G778" s="150"/>
      <c r="H778" s="150"/>
      <c r="I778" s="150"/>
      <c r="J778" s="150"/>
      <c r="K778" s="150"/>
      <c r="L778" s="150"/>
      <c r="M778" s="150"/>
      <c r="N778" s="150"/>
      <c r="O778" s="150"/>
      <c r="P778" s="150"/>
      <c r="Q778" s="150"/>
      <c r="R778" s="150"/>
      <c r="S778" s="150"/>
      <c r="T778" s="186"/>
      <c r="U778" s="186"/>
      <c r="V778" s="186"/>
      <c r="W778" s="186"/>
      <c r="X778" s="186"/>
      <c r="Y778" s="186"/>
      <c r="Z778" s="186"/>
      <c r="AA778" s="186"/>
      <c r="AB778" s="186"/>
      <c r="AC778" s="186"/>
      <c r="AD778" s="186"/>
      <c r="AF778" s="150"/>
      <c r="AG778" s="150"/>
      <c r="AH778" s="150"/>
      <c r="AI778" s="150"/>
      <c r="AJ778" s="150"/>
      <c r="AK778" s="150"/>
      <c r="AL778" s="150"/>
      <c r="AM778" s="150"/>
      <c r="AN778" s="150"/>
      <c r="AO778" s="150"/>
      <c r="AP778" s="150"/>
      <c r="AQ778" s="150"/>
      <c r="AT778" s="186"/>
      <c r="AU778" s="186"/>
      <c r="AV778" s="186"/>
      <c r="AW778" s="186"/>
      <c r="AX778" s="186"/>
      <c r="AY778" s="186"/>
      <c r="AZ778" s="186"/>
      <c r="BA778" s="186"/>
      <c r="BB778" s="186"/>
      <c r="BC778" s="186"/>
      <c r="BD778" s="186"/>
      <c r="BE778" s="186"/>
      <c r="BF778" s="150"/>
      <c r="BG778" s="150"/>
    </row>
    <row r="779" spans="1:59" ht="14.6">
      <c r="C779" s="289"/>
      <c r="D779" s="150"/>
      <c r="E779" s="150"/>
      <c r="F779" s="150"/>
      <c r="G779" s="150"/>
      <c r="H779" s="150"/>
      <c r="I779" s="150"/>
      <c r="J779" s="150"/>
      <c r="K779" s="150"/>
      <c r="L779" s="150"/>
      <c r="M779" s="150"/>
      <c r="N779" s="150"/>
      <c r="O779" s="150"/>
      <c r="P779" s="150"/>
      <c r="Q779" s="150"/>
      <c r="R779" s="150"/>
      <c r="S779" s="150"/>
      <c r="T779" s="186"/>
      <c r="U779" s="186"/>
      <c r="V779" s="186"/>
      <c r="W779" s="186"/>
      <c r="X779" s="186"/>
      <c r="Y779" s="186"/>
      <c r="Z779" s="186"/>
      <c r="AA779" s="186"/>
      <c r="AB779" s="186"/>
      <c r="AC779" s="186"/>
      <c r="AD779" s="186"/>
      <c r="AF779" s="150"/>
      <c r="AG779" s="150"/>
      <c r="AH779" s="150"/>
      <c r="AI779" s="150"/>
      <c r="AJ779" s="150"/>
      <c r="AK779" s="150"/>
      <c r="AL779" s="150"/>
      <c r="AM779" s="150"/>
      <c r="AN779" s="150"/>
      <c r="AO779" s="150"/>
      <c r="AP779" s="150"/>
      <c r="AQ779" s="150"/>
      <c r="AT779" s="186"/>
      <c r="AU779" s="186"/>
      <c r="AV779" s="186"/>
      <c r="AW779" s="186"/>
      <c r="AX779" s="186"/>
      <c r="AY779" s="186"/>
      <c r="AZ779" s="186"/>
      <c r="BA779" s="186"/>
      <c r="BB779" s="186"/>
      <c r="BC779" s="186"/>
      <c r="BD779" s="186"/>
      <c r="BE779" s="186"/>
      <c r="BF779" s="150"/>
      <c r="BG779" s="150"/>
    </row>
    <row r="780" spans="1:59" ht="14.6">
      <c r="C780" s="289"/>
      <c r="D780" s="150"/>
      <c r="E780" s="150"/>
      <c r="F780" s="150"/>
      <c r="G780" s="150"/>
      <c r="H780" s="150"/>
      <c r="I780" s="150"/>
      <c r="J780" s="150"/>
      <c r="K780" s="150"/>
      <c r="L780" s="150"/>
      <c r="M780" s="150"/>
      <c r="N780" s="150"/>
      <c r="O780" s="150"/>
      <c r="P780" s="150"/>
      <c r="Q780" s="150"/>
      <c r="R780" s="150"/>
      <c r="S780" s="150"/>
      <c r="T780" s="186"/>
      <c r="U780" s="186"/>
      <c r="V780" s="186"/>
      <c r="W780" s="186"/>
      <c r="X780" s="186"/>
      <c r="Y780" s="186"/>
      <c r="Z780" s="186"/>
      <c r="AA780" s="186"/>
      <c r="AB780" s="186"/>
      <c r="AC780" s="186"/>
      <c r="AD780" s="186"/>
      <c r="AF780" s="150"/>
      <c r="AG780" s="150"/>
      <c r="AH780" s="150"/>
      <c r="AI780" s="150"/>
      <c r="AJ780" s="150"/>
      <c r="AK780" s="150"/>
      <c r="AL780" s="150"/>
      <c r="AM780" s="150"/>
      <c r="AN780" s="150"/>
      <c r="AO780" s="150"/>
      <c r="AP780" s="150"/>
      <c r="AQ780" s="150"/>
      <c r="AT780" s="186"/>
      <c r="AU780" s="186"/>
      <c r="AV780" s="186"/>
      <c r="AW780" s="186"/>
      <c r="AX780" s="186"/>
      <c r="AY780" s="186"/>
      <c r="AZ780" s="186"/>
      <c r="BA780" s="186"/>
      <c r="BB780" s="186"/>
      <c r="BC780" s="186"/>
      <c r="BD780" s="186"/>
      <c r="BE780" s="186"/>
      <c r="BF780" s="150"/>
      <c r="BG780" s="150"/>
    </row>
    <row r="781" spans="1:59" ht="14.6">
      <c r="C781" s="289"/>
      <c r="D781" s="150"/>
      <c r="E781" s="150"/>
      <c r="F781" s="150"/>
      <c r="G781" s="150"/>
      <c r="H781" s="150"/>
      <c r="I781" s="150"/>
      <c r="J781" s="150"/>
      <c r="K781" s="150"/>
      <c r="L781" s="150"/>
      <c r="M781" s="150"/>
      <c r="N781" s="150"/>
      <c r="O781" s="150"/>
      <c r="P781" s="150"/>
      <c r="Q781" s="150"/>
      <c r="R781" s="150"/>
      <c r="S781" s="150"/>
      <c r="T781" s="186"/>
      <c r="U781" s="186"/>
      <c r="V781" s="186"/>
      <c r="W781" s="186"/>
      <c r="X781" s="186"/>
      <c r="Y781" s="186"/>
      <c r="Z781" s="186"/>
      <c r="AA781" s="186"/>
      <c r="AB781" s="186"/>
      <c r="AC781" s="186"/>
      <c r="AD781" s="186"/>
      <c r="AF781" s="150"/>
      <c r="AG781" s="150"/>
      <c r="AH781" s="150"/>
      <c r="AI781" s="150"/>
      <c r="AJ781" s="150"/>
      <c r="AK781" s="150"/>
      <c r="AL781" s="150"/>
      <c r="AM781" s="150"/>
      <c r="AN781" s="150"/>
      <c r="AO781" s="150"/>
      <c r="AP781" s="150"/>
      <c r="AQ781" s="150"/>
      <c r="AT781" s="186"/>
      <c r="AU781" s="186"/>
      <c r="AV781" s="186"/>
      <c r="AW781" s="186"/>
      <c r="AX781" s="186"/>
      <c r="AY781" s="186"/>
      <c r="AZ781" s="186"/>
      <c r="BA781" s="186"/>
      <c r="BB781" s="186"/>
      <c r="BC781" s="186"/>
      <c r="BD781" s="186"/>
      <c r="BE781" s="186"/>
      <c r="BF781" s="150"/>
      <c r="BG781" s="150"/>
    </row>
    <row r="782" spans="1:59" s="245" customFormat="1" ht="14.6">
      <c r="A782" s="44"/>
      <c r="B782" s="44"/>
      <c r="C782" s="289"/>
      <c r="D782" s="150"/>
      <c r="E782" s="150"/>
      <c r="F782" s="150"/>
      <c r="G782" s="150"/>
      <c r="H782" s="150"/>
      <c r="I782" s="150"/>
      <c r="J782" s="150"/>
      <c r="K782" s="150"/>
      <c r="L782" s="150"/>
      <c r="M782" s="150"/>
      <c r="N782" s="150"/>
      <c r="O782" s="150"/>
      <c r="P782" s="150"/>
      <c r="Q782" s="150"/>
      <c r="R782" s="150"/>
      <c r="S782" s="150"/>
      <c r="T782" s="186"/>
      <c r="U782" s="186"/>
      <c r="V782" s="186"/>
      <c r="W782" s="186"/>
      <c r="X782" s="186"/>
      <c r="Y782" s="186"/>
      <c r="Z782" s="186"/>
      <c r="AA782" s="186"/>
      <c r="AB782" s="186"/>
      <c r="AC782" s="186"/>
      <c r="AD782" s="186"/>
      <c r="AE782" s="44"/>
      <c r="AF782" s="150"/>
      <c r="AG782" s="150"/>
      <c r="AH782" s="150"/>
      <c r="AI782" s="150"/>
      <c r="AJ782" s="150"/>
      <c r="AK782" s="150"/>
      <c r="AL782" s="150"/>
      <c r="AM782" s="150"/>
      <c r="AN782" s="150"/>
      <c r="AO782" s="150"/>
      <c r="AP782" s="150"/>
      <c r="AQ782" s="150"/>
      <c r="AR782" s="44"/>
      <c r="AS782" s="44"/>
      <c r="AT782" s="186"/>
      <c r="AU782" s="186"/>
      <c r="AV782" s="186"/>
      <c r="AW782" s="186"/>
      <c r="AX782" s="186"/>
      <c r="AY782" s="186"/>
      <c r="AZ782" s="186"/>
      <c r="BA782" s="186"/>
      <c r="BB782" s="186"/>
      <c r="BC782" s="186"/>
      <c r="BD782" s="186"/>
      <c r="BE782" s="186"/>
      <c r="BF782" s="150"/>
      <c r="BG782" s="150"/>
    </row>
    <row r="783" spans="1:59" ht="14.6">
      <c r="C783" s="289"/>
      <c r="D783" s="150"/>
      <c r="E783" s="150"/>
      <c r="F783" s="150"/>
      <c r="G783" s="150"/>
      <c r="H783" s="150"/>
      <c r="I783" s="150"/>
      <c r="J783" s="150"/>
      <c r="K783" s="150"/>
      <c r="L783" s="150"/>
      <c r="M783" s="150"/>
      <c r="N783" s="150"/>
      <c r="O783" s="150"/>
      <c r="P783" s="150"/>
      <c r="Q783" s="150"/>
      <c r="R783" s="150"/>
      <c r="S783" s="150"/>
      <c r="T783" s="186"/>
      <c r="U783" s="186"/>
      <c r="V783" s="186"/>
      <c r="W783" s="186"/>
      <c r="X783" s="186"/>
      <c r="Y783" s="186"/>
      <c r="Z783" s="186"/>
      <c r="AA783" s="186"/>
      <c r="AB783" s="186"/>
      <c r="AC783" s="186"/>
      <c r="AD783" s="186"/>
      <c r="AF783" s="150"/>
      <c r="AG783" s="150"/>
      <c r="AH783" s="150"/>
      <c r="AI783" s="150"/>
      <c r="AJ783" s="150"/>
      <c r="AK783" s="150"/>
      <c r="AL783" s="150"/>
      <c r="AM783" s="150"/>
      <c r="AN783" s="150"/>
      <c r="AO783" s="150"/>
      <c r="AP783" s="150"/>
      <c r="AQ783" s="150"/>
      <c r="AT783" s="186"/>
      <c r="AU783" s="186"/>
      <c r="AV783" s="186"/>
      <c r="AW783" s="186"/>
      <c r="AX783" s="186"/>
      <c r="AY783" s="186"/>
      <c r="AZ783" s="186"/>
      <c r="BA783" s="186"/>
      <c r="BB783" s="186"/>
      <c r="BC783" s="186"/>
      <c r="BD783" s="186"/>
      <c r="BE783" s="186"/>
      <c r="BF783" s="150"/>
      <c r="BG783" s="150"/>
    </row>
    <row r="784" spans="1:59" ht="14.6">
      <c r="C784" s="289"/>
      <c r="D784" s="150"/>
      <c r="E784" s="150"/>
      <c r="F784" s="150"/>
      <c r="G784" s="150"/>
      <c r="H784" s="150"/>
      <c r="I784" s="150"/>
      <c r="J784" s="150"/>
      <c r="K784" s="150"/>
      <c r="L784" s="150"/>
      <c r="M784" s="150"/>
      <c r="N784" s="150"/>
      <c r="O784" s="150"/>
      <c r="P784" s="150"/>
      <c r="Q784" s="150"/>
      <c r="R784" s="150"/>
      <c r="S784" s="150"/>
      <c r="T784" s="186"/>
      <c r="U784" s="186"/>
      <c r="V784" s="186"/>
      <c r="W784" s="186"/>
      <c r="X784" s="186"/>
      <c r="Y784" s="186"/>
      <c r="Z784" s="186"/>
      <c r="AA784" s="186"/>
      <c r="AB784" s="186"/>
      <c r="AC784" s="186"/>
      <c r="AD784" s="186"/>
      <c r="AF784" s="150"/>
      <c r="AG784" s="150"/>
      <c r="AH784" s="150"/>
      <c r="AI784" s="150"/>
      <c r="AJ784" s="150"/>
      <c r="AK784" s="150"/>
      <c r="AL784" s="150"/>
      <c r="AM784" s="150"/>
      <c r="AN784" s="150"/>
      <c r="AO784" s="150"/>
      <c r="AP784" s="150"/>
      <c r="AQ784" s="150"/>
      <c r="AT784" s="186"/>
      <c r="AU784" s="186"/>
      <c r="AV784" s="186"/>
      <c r="AW784" s="186"/>
      <c r="AX784" s="186"/>
      <c r="AY784" s="186"/>
      <c r="AZ784" s="186"/>
      <c r="BA784" s="186"/>
      <c r="BB784" s="186"/>
      <c r="BC784" s="186"/>
      <c r="BD784" s="186"/>
      <c r="BE784" s="186"/>
      <c r="BF784" s="150"/>
      <c r="BG784" s="150"/>
    </row>
    <row r="785" spans="3:59" ht="14.6">
      <c r="C785" s="289"/>
      <c r="D785" s="150"/>
      <c r="E785" s="150"/>
      <c r="F785" s="150"/>
      <c r="G785" s="150"/>
      <c r="H785" s="150"/>
      <c r="I785" s="150"/>
      <c r="J785" s="150"/>
      <c r="K785" s="150"/>
      <c r="L785" s="150"/>
      <c r="M785" s="150"/>
      <c r="N785" s="150"/>
      <c r="O785" s="150"/>
      <c r="P785" s="150"/>
      <c r="Q785" s="150"/>
      <c r="R785" s="150"/>
      <c r="S785" s="150"/>
      <c r="T785" s="186"/>
      <c r="U785" s="186"/>
      <c r="V785" s="186"/>
      <c r="W785" s="186"/>
      <c r="X785" s="186"/>
      <c r="Y785" s="186"/>
      <c r="Z785" s="186"/>
      <c r="AA785" s="186"/>
      <c r="AB785" s="186"/>
      <c r="AC785" s="186"/>
      <c r="AD785" s="186"/>
      <c r="AF785" s="150"/>
      <c r="AG785" s="150"/>
      <c r="AH785" s="150"/>
      <c r="AI785" s="150"/>
      <c r="AJ785" s="150"/>
      <c r="AK785" s="150"/>
      <c r="AL785" s="150"/>
      <c r="AM785" s="150"/>
      <c r="AN785" s="150"/>
      <c r="AO785" s="150"/>
      <c r="AP785" s="150"/>
      <c r="AQ785" s="150"/>
      <c r="AT785" s="186"/>
      <c r="AU785" s="186"/>
      <c r="AV785" s="186"/>
      <c r="AW785" s="186"/>
      <c r="AX785" s="186"/>
      <c r="AY785" s="186"/>
      <c r="AZ785" s="186"/>
      <c r="BA785" s="186"/>
      <c r="BB785" s="186"/>
      <c r="BC785" s="186"/>
      <c r="BD785" s="186"/>
      <c r="BE785" s="186"/>
      <c r="BF785" s="150"/>
      <c r="BG785" s="150"/>
    </row>
    <row r="786" spans="3:59" ht="14.6">
      <c r="C786" s="289"/>
      <c r="D786" s="150"/>
      <c r="E786" s="150"/>
      <c r="F786" s="150"/>
      <c r="G786" s="150"/>
      <c r="H786" s="150"/>
      <c r="I786" s="150"/>
      <c r="J786" s="150"/>
      <c r="K786" s="150"/>
      <c r="L786" s="150"/>
      <c r="M786" s="150"/>
      <c r="N786" s="150"/>
      <c r="O786" s="150"/>
      <c r="P786" s="150"/>
      <c r="Q786" s="150"/>
      <c r="R786" s="150"/>
      <c r="S786" s="150"/>
      <c r="T786" s="186"/>
      <c r="U786" s="186"/>
      <c r="V786" s="186"/>
      <c r="W786" s="186"/>
      <c r="X786" s="186"/>
      <c r="Y786" s="186"/>
      <c r="Z786" s="186"/>
      <c r="AA786" s="186"/>
      <c r="AB786" s="186"/>
      <c r="AC786" s="186"/>
      <c r="AD786" s="186"/>
      <c r="AF786" s="150"/>
      <c r="AG786" s="150"/>
      <c r="AH786" s="150"/>
      <c r="AI786" s="150"/>
      <c r="AJ786" s="150"/>
      <c r="AK786" s="150"/>
      <c r="AL786" s="150"/>
      <c r="AM786" s="150"/>
      <c r="AN786" s="150"/>
      <c r="AO786" s="150"/>
      <c r="AP786" s="150"/>
      <c r="AQ786" s="150"/>
      <c r="AT786" s="186"/>
      <c r="AU786" s="186"/>
      <c r="AV786" s="186"/>
      <c r="AW786" s="186"/>
      <c r="AX786" s="186"/>
      <c r="AY786" s="186"/>
      <c r="AZ786" s="186"/>
      <c r="BA786" s="186"/>
      <c r="BB786" s="186"/>
      <c r="BC786" s="186"/>
      <c r="BD786" s="186"/>
      <c r="BE786" s="186"/>
      <c r="BF786" s="150"/>
      <c r="BG786" s="150"/>
    </row>
    <row r="787" spans="3:59" ht="14.6">
      <c r="C787" s="289"/>
      <c r="D787" s="150"/>
      <c r="E787" s="150"/>
      <c r="F787" s="150"/>
      <c r="G787" s="150"/>
      <c r="H787" s="150"/>
      <c r="I787" s="150"/>
      <c r="J787" s="150"/>
      <c r="K787" s="150"/>
      <c r="L787" s="150"/>
      <c r="M787" s="150"/>
      <c r="N787" s="150"/>
      <c r="O787" s="150"/>
      <c r="P787" s="150"/>
      <c r="Q787" s="150"/>
      <c r="R787" s="150"/>
      <c r="S787" s="150"/>
      <c r="T787" s="186"/>
      <c r="U787" s="186"/>
      <c r="V787" s="186"/>
      <c r="W787" s="186"/>
      <c r="X787" s="186"/>
      <c r="Y787" s="186"/>
      <c r="Z787" s="186"/>
      <c r="AA787" s="186"/>
      <c r="AB787" s="186"/>
      <c r="AC787" s="186"/>
      <c r="AD787" s="186"/>
      <c r="AF787" s="150"/>
      <c r="AG787" s="150"/>
      <c r="AH787" s="150"/>
      <c r="AI787" s="150"/>
      <c r="AJ787" s="150"/>
      <c r="AK787" s="150"/>
      <c r="AL787" s="150"/>
      <c r="AM787" s="150"/>
      <c r="AN787" s="150"/>
      <c r="AO787" s="150"/>
      <c r="AP787" s="150"/>
      <c r="AQ787" s="150"/>
      <c r="AT787" s="186"/>
      <c r="AU787" s="186"/>
      <c r="AV787" s="186"/>
      <c r="AW787" s="186"/>
      <c r="AX787" s="186"/>
      <c r="AY787" s="186"/>
      <c r="AZ787" s="186"/>
      <c r="BA787" s="186"/>
      <c r="BB787" s="186"/>
      <c r="BC787" s="186"/>
      <c r="BD787" s="186"/>
      <c r="BE787" s="186"/>
      <c r="BF787" s="150"/>
      <c r="BG787" s="150"/>
    </row>
    <row r="788" spans="3:59" ht="14.6">
      <c r="C788" s="289"/>
      <c r="D788" s="150"/>
      <c r="E788" s="150"/>
      <c r="F788" s="150"/>
      <c r="G788" s="150"/>
      <c r="H788" s="150"/>
      <c r="I788" s="150"/>
      <c r="J788" s="150"/>
      <c r="K788" s="150"/>
      <c r="L788" s="150"/>
      <c r="M788" s="150"/>
      <c r="N788" s="150"/>
      <c r="O788" s="150"/>
      <c r="P788" s="150"/>
      <c r="Q788" s="150"/>
      <c r="R788" s="150"/>
      <c r="S788" s="150"/>
      <c r="T788" s="186"/>
      <c r="U788" s="186"/>
      <c r="V788" s="186"/>
      <c r="W788" s="186"/>
      <c r="X788" s="186"/>
      <c r="Y788" s="186"/>
      <c r="Z788" s="186"/>
      <c r="AA788" s="186"/>
      <c r="AB788" s="186"/>
      <c r="AC788" s="186"/>
      <c r="AD788" s="186"/>
      <c r="AF788" s="150"/>
      <c r="AG788" s="150"/>
      <c r="AH788" s="150"/>
      <c r="AI788" s="150"/>
      <c r="AJ788" s="150"/>
      <c r="AK788" s="150"/>
      <c r="AL788" s="150"/>
      <c r="AM788" s="150"/>
      <c r="AN788" s="150"/>
      <c r="AO788" s="150"/>
      <c r="AP788" s="150"/>
      <c r="AQ788" s="150"/>
      <c r="AT788" s="186"/>
      <c r="AU788" s="186"/>
      <c r="AV788" s="186"/>
      <c r="AW788" s="186"/>
      <c r="AX788" s="186"/>
      <c r="AY788" s="186"/>
      <c r="AZ788" s="186"/>
      <c r="BA788" s="186"/>
      <c r="BB788" s="186"/>
      <c r="BC788" s="186"/>
      <c r="BD788" s="186"/>
      <c r="BE788" s="186"/>
      <c r="BF788" s="150"/>
      <c r="BG788" s="150"/>
    </row>
    <row r="789" spans="3:59" ht="14.6">
      <c r="C789" s="289"/>
      <c r="D789" s="150"/>
      <c r="E789" s="150"/>
      <c r="F789" s="150"/>
      <c r="G789" s="150"/>
      <c r="H789" s="150"/>
      <c r="I789" s="150"/>
      <c r="J789" s="150"/>
      <c r="K789" s="150"/>
      <c r="L789" s="150"/>
      <c r="M789" s="150"/>
      <c r="N789" s="150"/>
      <c r="O789" s="150"/>
      <c r="P789" s="150"/>
      <c r="Q789" s="150"/>
      <c r="R789" s="150"/>
      <c r="S789" s="150"/>
      <c r="T789" s="186"/>
      <c r="U789" s="186"/>
      <c r="V789" s="186"/>
      <c r="W789" s="186"/>
      <c r="X789" s="186"/>
      <c r="Y789" s="186"/>
      <c r="Z789" s="186"/>
      <c r="AA789" s="186"/>
      <c r="AB789" s="186"/>
      <c r="AC789" s="186"/>
      <c r="AD789" s="186"/>
      <c r="AF789" s="150"/>
      <c r="AG789" s="150"/>
      <c r="AH789" s="150"/>
      <c r="AI789" s="150"/>
      <c r="AJ789" s="150"/>
      <c r="AK789" s="150"/>
      <c r="AL789" s="150"/>
      <c r="AM789" s="150"/>
      <c r="AN789" s="150"/>
      <c r="AO789" s="150"/>
      <c r="AP789" s="150"/>
      <c r="AQ789" s="150"/>
      <c r="AT789" s="186"/>
      <c r="AU789" s="186"/>
      <c r="AV789" s="186"/>
      <c r="AW789" s="186"/>
      <c r="AX789" s="186"/>
      <c r="AY789" s="186"/>
      <c r="AZ789" s="186"/>
      <c r="BA789" s="186"/>
      <c r="BB789" s="186"/>
      <c r="BC789" s="186"/>
      <c r="BD789" s="186"/>
      <c r="BE789" s="186"/>
      <c r="BF789" s="150"/>
      <c r="BG789" s="150"/>
    </row>
    <row r="790" spans="3:59" ht="14.6">
      <c r="C790" s="289"/>
      <c r="D790" s="150"/>
      <c r="E790" s="150"/>
      <c r="F790" s="150"/>
      <c r="G790" s="150"/>
      <c r="H790" s="150"/>
      <c r="I790" s="150"/>
      <c r="J790" s="150"/>
      <c r="K790" s="150"/>
      <c r="L790" s="150"/>
      <c r="M790" s="150"/>
      <c r="N790" s="150"/>
      <c r="O790" s="150"/>
      <c r="P790" s="150"/>
      <c r="Q790" s="150"/>
      <c r="R790" s="150"/>
      <c r="S790" s="150"/>
      <c r="T790" s="186"/>
      <c r="U790" s="186"/>
      <c r="V790" s="186"/>
      <c r="W790" s="186"/>
      <c r="X790" s="186"/>
      <c r="Y790" s="186"/>
      <c r="Z790" s="186"/>
      <c r="AA790" s="186"/>
      <c r="AB790" s="186"/>
      <c r="AC790" s="186"/>
      <c r="AD790" s="186"/>
      <c r="AF790" s="150"/>
      <c r="AG790" s="150"/>
      <c r="AH790" s="150"/>
      <c r="AI790" s="150"/>
      <c r="AJ790" s="150"/>
      <c r="AK790" s="150"/>
      <c r="AL790" s="150"/>
      <c r="AM790" s="150"/>
      <c r="AN790" s="150"/>
      <c r="AO790" s="150"/>
      <c r="AP790" s="150"/>
      <c r="AQ790" s="150"/>
      <c r="AT790" s="186"/>
      <c r="AU790" s="186"/>
      <c r="AV790" s="186"/>
      <c r="AW790" s="186"/>
      <c r="AX790" s="186"/>
      <c r="AY790" s="186"/>
      <c r="AZ790" s="186"/>
      <c r="BA790" s="186"/>
      <c r="BB790" s="186"/>
      <c r="BC790" s="186"/>
      <c r="BD790" s="186"/>
      <c r="BE790" s="186"/>
      <c r="BF790" s="150"/>
      <c r="BG790" s="150"/>
    </row>
    <row r="791" spans="3:59" ht="14.6">
      <c r="C791" s="289"/>
      <c r="D791" s="150"/>
      <c r="E791" s="150"/>
      <c r="F791" s="150"/>
      <c r="G791" s="150"/>
      <c r="H791" s="150"/>
      <c r="I791" s="150"/>
      <c r="J791" s="150"/>
      <c r="K791" s="150"/>
      <c r="L791" s="150"/>
      <c r="M791" s="150"/>
      <c r="N791" s="150"/>
      <c r="O791" s="150"/>
      <c r="P791" s="150"/>
      <c r="Q791" s="150"/>
      <c r="R791" s="150"/>
      <c r="S791" s="150"/>
      <c r="T791" s="186"/>
      <c r="U791" s="186"/>
      <c r="V791" s="186"/>
      <c r="W791" s="186"/>
      <c r="X791" s="186"/>
      <c r="Y791" s="186"/>
      <c r="Z791" s="186"/>
      <c r="AA791" s="186"/>
      <c r="AB791" s="186"/>
      <c r="AC791" s="186"/>
      <c r="AD791" s="186"/>
      <c r="AF791" s="150"/>
      <c r="AG791" s="150"/>
      <c r="AH791" s="150"/>
      <c r="AI791" s="150"/>
      <c r="AJ791" s="150"/>
      <c r="AK791" s="150"/>
      <c r="AL791" s="150"/>
      <c r="AM791" s="150"/>
      <c r="AN791" s="150"/>
      <c r="AO791" s="150"/>
      <c r="AP791" s="150"/>
      <c r="AQ791" s="150"/>
      <c r="AT791" s="186"/>
      <c r="AU791" s="186"/>
      <c r="AV791" s="186"/>
      <c r="AW791" s="186"/>
      <c r="AX791" s="186"/>
      <c r="AY791" s="186"/>
      <c r="AZ791" s="186"/>
      <c r="BA791" s="186"/>
      <c r="BB791" s="186"/>
      <c r="BC791" s="186"/>
      <c r="BD791" s="186"/>
      <c r="BE791" s="186"/>
      <c r="BF791" s="150"/>
      <c r="BG791" s="150"/>
    </row>
    <row r="792" spans="3:59" ht="14.6">
      <c r="C792" s="289"/>
      <c r="D792" s="150"/>
      <c r="E792" s="150"/>
      <c r="F792" s="150"/>
      <c r="G792" s="150"/>
      <c r="H792" s="150"/>
      <c r="I792" s="150"/>
      <c r="J792" s="150"/>
      <c r="K792" s="150"/>
      <c r="L792" s="150"/>
      <c r="M792" s="150"/>
      <c r="N792" s="150"/>
      <c r="O792" s="150"/>
      <c r="P792" s="150"/>
      <c r="Q792" s="150"/>
      <c r="R792" s="150"/>
      <c r="S792" s="150"/>
      <c r="T792" s="186"/>
      <c r="U792" s="186"/>
      <c r="V792" s="186"/>
      <c r="W792" s="186"/>
      <c r="X792" s="186"/>
      <c r="Y792" s="186"/>
      <c r="Z792" s="186"/>
      <c r="AA792" s="186"/>
      <c r="AB792" s="186"/>
      <c r="AC792" s="186"/>
      <c r="AD792" s="186"/>
      <c r="AF792" s="150"/>
      <c r="AG792" s="150"/>
      <c r="AH792" s="150"/>
      <c r="AI792" s="150"/>
      <c r="AJ792" s="150"/>
      <c r="AK792" s="150"/>
      <c r="AL792" s="150"/>
      <c r="AM792" s="150"/>
      <c r="AN792" s="150"/>
      <c r="AO792" s="150"/>
      <c r="AP792" s="150"/>
      <c r="AQ792" s="150"/>
      <c r="AT792" s="186"/>
      <c r="AU792" s="186"/>
      <c r="AV792" s="186"/>
      <c r="AW792" s="186"/>
      <c r="AX792" s="186"/>
      <c r="AY792" s="186"/>
      <c r="AZ792" s="186"/>
      <c r="BA792" s="186"/>
      <c r="BB792" s="186"/>
      <c r="BC792" s="186"/>
      <c r="BD792" s="186"/>
      <c r="BE792" s="186"/>
      <c r="BF792" s="150"/>
      <c r="BG792" s="150"/>
    </row>
    <row r="793" spans="3:59" ht="14.6">
      <c r="C793" s="289"/>
      <c r="D793" s="150"/>
      <c r="E793" s="150"/>
      <c r="F793" s="150"/>
      <c r="G793" s="150"/>
      <c r="H793" s="150"/>
      <c r="I793" s="150"/>
      <c r="J793" s="150"/>
      <c r="K793" s="150"/>
      <c r="L793" s="150"/>
      <c r="M793" s="150"/>
      <c r="N793" s="150"/>
      <c r="O793" s="150"/>
      <c r="P793" s="150"/>
      <c r="Q793" s="150"/>
      <c r="R793" s="150"/>
      <c r="S793" s="150"/>
      <c r="T793" s="186"/>
      <c r="U793" s="186"/>
      <c r="V793" s="186"/>
      <c r="W793" s="186"/>
      <c r="X793" s="186"/>
      <c r="Y793" s="186"/>
      <c r="Z793" s="186"/>
      <c r="AA793" s="186"/>
      <c r="AB793" s="186"/>
      <c r="AC793" s="186"/>
      <c r="AD793" s="186"/>
      <c r="AF793" s="150"/>
      <c r="AG793" s="150"/>
      <c r="AH793" s="150"/>
      <c r="AI793" s="150"/>
      <c r="AJ793" s="150"/>
      <c r="AK793" s="150"/>
      <c r="AL793" s="150"/>
      <c r="AM793" s="150"/>
      <c r="AN793" s="150"/>
      <c r="AO793" s="150"/>
      <c r="AP793" s="150"/>
      <c r="AQ793" s="150"/>
      <c r="AT793" s="186"/>
      <c r="AU793" s="186"/>
      <c r="AV793" s="186"/>
      <c r="AW793" s="186"/>
      <c r="AX793" s="186"/>
      <c r="AY793" s="186"/>
      <c r="AZ793" s="186"/>
      <c r="BA793" s="186"/>
      <c r="BB793" s="186"/>
      <c r="BC793" s="186"/>
      <c r="BD793" s="186"/>
      <c r="BE793" s="186"/>
      <c r="BF793" s="150"/>
      <c r="BG793" s="150"/>
    </row>
    <row r="794" spans="3:59" ht="14.6">
      <c r="C794" s="289"/>
      <c r="D794" s="150"/>
      <c r="E794" s="150"/>
      <c r="F794" s="150"/>
      <c r="G794" s="150"/>
      <c r="H794" s="150"/>
      <c r="I794" s="150"/>
      <c r="J794" s="150"/>
      <c r="K794" s="150"/>
      <c r="L794" s="150"/>
      <c r="M794" s="150"/>
      <c r="N794" s="150"/>
      <c r="O794" s="150"/>
      <c r="P794" s="150"/>
      <c r="Q794" s="150"/>
      <c r="R794" s="150"/>
      <c r="S794" s="150"/>
      <c r="T794" s="186"/>
      <c r="U794" s="186"/>
      <c r="V794" s="186"/>
      <c r="W794" s="186"/>
      <c r="X794" s="186"/>
      <c r="Y794" s="186"/>
      <c r="Z794" s="186"/>
      <c r="AA794" s="186"/>
      <c r="AB794" s="186"/>
      <c r="AC794" s="186"/>
      <c r="AD794" s="186"/>
      <c r="AF794" s="150"/>
      <c r="AG794" s="150"/>
      <c r="AH794" s="150"/>
      <c r="AI794" s="150"/>
      <c r="AJ794" s="150"/>
      <c r="AK794" s="150"/>
      <c r="AL794" s="150"/>
      <c r="AM794" s="150"/>
      <c r="AN794" s="150"/>
      <c r="AO794" s="150"/>
      <c r="AP794" s="150"/>
      <c r="AQ794" s="150"/>
      <c r="AT794" s="186"/>
      <c r="AU794" s="186"/>
      <c r="AV794" s="186"/>
      <c r="AW794" s="186"/>
      <c r="AX794" s="186"/>
      <c r="AY794" s="186"/>
      <c r="AZ794" s="186"/>
      <c r="BA794" s="186"/>
      <c r="BB794" s="186"/>
      <c r="BC794" s="186"/>
      <c r="BD794" s="186"/>
      <c r="BE794" s="186"/>
      <c r="BF794" s="150"/>
      <c r="BG794" s="150"/>
    </row>
    <row r="795" spans="3:59" ht="14.6">
      <c r="C795" s="289"/>
      <c r="D795" s="150"/>
      <c r="E795" s="150"/>
      <c r="F795" s="150"/>
      <c r="G795" s="150"/>
      <c r="H795" s="150"/>
      <c r="I795" s="150"/>
      <c r="J795" s="150"/>
      <c r="K795" s="150"/>
      <c r="L795" s="150"/>
      <c r="M795" s="150"/>
      <c r="N795" s="150"/>
      <c r="O795" s="150"/>
      <c r="P795" s="150"/>
      <c r="Q795" s="150"/>
      <c r="R795" s="150"/>
      <c r="S795" s="150"/>
      <c r="T795" s="186"/>
      <c r="U795" s="186"/>
      <c r="V795" s="186"/>
      <c r="W795" s="186"/>
      <c r="X795" s="186"/>
      <c r="Y795" s="186"/>
      <c r="Z795" s="186"/>
      <c r="AA795" s="186"/>
      <c r="AB795" s="186"/>
      <c r="AC795" s="186"/>
      <c r="AD795" s="186"/>
      <c r="AF795" s="150"/>
      <c r="AG795" s="150"/>
      <c r="AH795" s="150"/>
      <c r="AI795" s="150"/>
      <c r="AJ795" s="150"/>
      <c r="AK795" s="150"/>
      <c r="AL795" s="150"/>
      <c r="AM795" s="150"/>
      <c r="AN795" s="150"/>
      <c r="AO795" s="150"/>
      <c r="AP795" s="150"/>
      <c r="AQ795" s="150"/>
      <c r="AT795" s="186"/>
      <c r="AU795" s="186"/>
      <c r="AV795" s="186"/>
      <c r="AW795" s="186"/>
      <c r="AX795" s="186"/>
      <c r="AY795" s="186"/>
      <c r="AZ795" s="186"/>
      <c r="BA795" s="186"/>
      <c r="BB795" s="186"/>
      <c r="BC795" s="186"/>
      <c r="BD795" s="186"/>
      <c r="BE795" s="186"/>
      <c r="BF795" s="150"/>
      <c r="BG795" s="150"/>
    </row>
    <row r="796" spans="3:59" ht="14.6">
      <c r="C796" s="289"/>
      <c r="D796" s="150"/>
      <c r="E796" s="150"/>
      <c r="F796" s="150"/>
      <c r="G796" s="150"/>
      <c r="H796" s="150"/>
      <c r="I796" s="150"/>
      <c r="J796" s="150"/>
      <c r="K796" s="150"/>
      <c r="L796" s="150"/>
      <c r="M796" s="150"/>
      <c r="N796" s="150"/>
      <c r="O796" s="150"/>
      <c r="P796" s="150"/>
      <c r="Q796" s="150"/>
      <c r="R796" s="150"/>
      <c r="S796" s="150"/>
      <c r="T796" s="186"/>
      <c r="U796" s="186"/>
      <c r="V796" s="186"/>
      <c r="W796" s="186"/>
      <c r="X796" s="186"/>
      <c r="Y796" s="186"/>
      <c r="Z796" s="186"/>
      <c r="AA796" s="186"/>
      <c r="AB796" s="186"/>
      <c r="AC796" s="186"/>
      <c r="AD796" s="186"/>
      <c r="AF796" s="150"/>
      <c r="AG796" s="150"/>
      <c r="AH796" s="150"/>
      <c r="AI796" s="150"/>
      <c r="AJ796" s="150"/>
      <c r="AK796" s="150"/>
      <c r="AL796" s="150"/>
      <c r="AM796" s="150"/>
      <c r="AN796" s="150"/>
      <c r="AO796" s="150"/>
      <c r="AP796" s="150"/>
      <c r="AQ796" s="150"/>
      <c r="AT796" s="186"/>
      <c r="AU796" s="186"/>
      <c r="AV796" s="186"/>
      <c r="AW796" s="186"/>
      <c r="AX796" s="186"/>
      <c r="AY796" s="186"/>
      <c r="AZ796" s="186"/>
      <c r="BA796" s="186"/>
      <c r="BB796" s="186"/>
      <c r="BC796" s="186"/>
      <c r="BD796" s="186"/>
      <c r="BE796" s="186"/>
      <c r="BF796" s="150"/>
      <c r="BG796" s="150"/>
    </row>
    <row r="797" spans="3:59" ht="14.6">
      <c r="C797" s="289"/>
      <c r="D797" s="150"/>
      <c r="E797" s="150"/>
      <c r="F797" s="150"/>
      <c r="G797" s="150"/>
      <c r="H797" s="150"/>
      <c r="I797" s="150"/>
      <c r="J797" s="150"/>
      <c r="K797" s="150"/>
      <c r="L797" s="150"/>
      <c r="M797" s="150"/>
      <c r="N797" s="150"/>
      <c r="O797" s="150"/>
      <c r="P797" s="150"/>
      <c r="Q797" s="150"/>
      <c r="R797" s="150"/>
      <c r="S797" s="150"/>
      <c r="T797" s="186"/>
      <c r="U797" s="186"/>
      <c r="V797" s="186"/>
      <c r="W797" s="186"/>
      <c r="X797" s="186"/>
      <c r="Y797" s="186"/>
      <c r="Z797" s="186"/>
      <c r="AA797" s="186"/>
      <c r="AB797" s="186"/>
      <c r="AC797" s="186"/>
      <c r="AD797" s="186"/>
      <c r="AF797" s="150"/>
      <c r="AG797" s="150"/>
      <c r="AH797" s="150"/>
      <c r="AI797" s="150"/>
      <c r="AJ797" s="150"/>
      <c r="AK797" s="150"/>
      <c r="AL797" s="150"/>
      <c r="AM797" s="150"/>
      <c r="AN797" s="150"/>
      <c r="AO797" s="150"/>
      <c r="AP797" s="150"/>
      <c r="AQ797" s="150"/>
      <c r="AT797" s="186"/>
      <c r="AU797" s="186"/>
      <c r="AV797" s="186"/>
      <c r="AW797" s="186"/>
      <c r="AX797" s="186"/>
      <c r="AY797" s="186"/>
      <c r="AZ797" s="186"/>
      <c r="BA797" s="186"/>
      <c r="BB797" s="186"/>
      <c r="BC797" s="186"/>
      <c r="BD797" s="186"/>
      <c r="BE797" s="186"/>
      <c r="BF797" s="150"/>
      <c r="BG797" s="150"/>
    </row>
    <row r="798" spans="3:59" ht="14.6">
      <c r="C798" s="289"/>
      <c r="D798" s="150"/>
      <c r="E798" s="150"/>
      <c r="F798" s="150"/>
      <c r="G798" s="150"/>
      <c r="H798" s="150"/>
      <c r="I798" s="150"/>
      <c r="J798" s="150"/>
      <c r="K798" s="150"/>
      <c r="L798" s="150"/>
      <c r="M798" s="150"/>
      <c r="N798" s="150"/>
      <c r="O798" s="150"/>
      <c r="P798" s="150"/>
      <c r="Q798" s="150"/>
      <c r="R798" s="150"/>
      <c r="S798" s="150"/>
      <c r="T798" s="186"/>
      <c r="U798" s="186"/>
      <c r="V798" s="186"/>
      <c r="W798" s="186"/>
      <c r="X798" s="186"/>
      <c r="Y798" s="186"/>
      <c r="Z798" s="186"/>
      <c r="AA798" s="186"/>
      <c r="AB798" s="186"/>
      <c r="AC798" s="186"/>
      <c r="AD798" s="186"/>
      <c r="AF798" s="150"/>
      <c r="AG798" s="150"/>
      <c r="AH798" s="150"/>
      <c r="AI798" s="150"/>
      <c r="AJ798" s="150"/>
      <c r="AK798" s="150"/>
      <c r="AL798" s="150"/>
      <c r="AM798" s="150"/>
      <c r="AN798" s="150"/>
      <c r="AO798" s="150"/>
      <c r="AP798" s="150"/>
      <c r="AQ798" s="150"/>
      <c r="AT798" s="186"/>
      <c r="AU798" s="186"/>
      <c r="AV798" s="186"/>
      <c r="AW798" s="186"/>
      <c r="AX798" s="186"/>
      <c r="AY798" s="186"/>
      <c r="AZ798" s="186"/>
      <c r="BA798" s="186"/>
      <c r="BB798" s="186"/>
      <c r="BC798" s="186"/>
      <c r="BD798" s="186"/>
      <c r="BE798" s="186"/>
      <c r="BF798" s="150"/>
      <c r="BG798" s="150"/>
    </row>
    <row r="799" spans="3:59" ht="14.6">
      <c r="C799" s="289"/>
      <c r="D799" s="150"/>
      <c r="E799" s="150"/>
      <c r="F799" s="150"/>
      <c r="G799" s="150"/>
      <c r="H799" s="150"/>
      <c r="I799" s="150"/>
      <c r="J799" s="150"/>
      <c r="K799" s="150"/>
      <c r="L799" s="150"/>
      <c r="M799" s="150"/>
      <c r="N799" s="150"/>
      <c r="O799" s="150"/>
      <c r="P799" s="150"/>
      <c r="Q799" s="150"/>
      <c r="R799" s="150"/>
      <c r="S799" s="150"/>
      <c r="T799" s="186"/>
      <c r="U799" s="186"/>
      <c r="V799" s="186"/>
      <c r="W799" s="186"/>
      <c r="X799" s="186"/>
      <c r="Y799" s="186"/>
      <c r="Z799" s="186"/>
      <c r="AA799" s="186"/>
      <c r="AB799" s="186"/>
      <c r="AC799" s="186"/>
      <c r="AD799" s="186"/>
      <c r="AF799" s="150"/>
      <c r="AG799" s="150"/>
      <c r="AH799" s="150"/>
      <c r="AI799" s="150"/>
      <c r="AJ799" s="150"/>
      <c r="AK799" s="150"/>
      <c r="AL799" s="150"/>
      <c r="AM799" s="150"/>
      <c r="AN799" s="150"/>
      <c r="AO799" s="150"/>
      <c r="AP799" s="150"/>
      <c r="AQ799" s="150"/>
      <c r="AT799" s="186"/>
      <c r="AU799" s="186"/>
      <c r="AV799" s="186"/>
      <c r="AW799" s="186"/>
      <c r="AX799" s="186"/>
      <c r="AY799" s="186"/>
      <c r="AZ799" s="186"/>
      <c r="BA799" s="186"/>
      <c r="BB799" s="186"/>
      <c r="BC799" s="186"/>
      <c r="BD799" s="186"/>
      <c r="BE799" s="186"/>
      <c r="BF799" s="150"/>
      <c r="BG799" s="150"/>
    </row>
    <row r="800" spans="3:59" ht="14.6">
      <c r="C800" s="289"/>
      <c r="D800" s="150"/>
      <c r="E800" s="150"/>
      <c r="F800" s="150"/>
      <c r="G800" s="150"/>
      <c r="H800" s="150"/>
      <c r="I800" s="150"/>
      <c r="J800" s="150"/>
      <c r="K800" s="150"/>
      <c r="L800" s="150"/>
      <c r="M800" s="150"/>
      <c r="N800" s="150"/>
      <c r="O800" s="150"/>
      <c r="P800" s="150"/>
      <c r="Q800" s="150"/>
      <c r="R800" s="150"/>
      <c r="S800" s="150"/>
      <c r="T800" s="186"/>
      <c r="U800" s="186"/>
      <c r="V800" s="186"/>
      <c r="W800" s="186"/>
      <c r="X800" s="186"/>
      <c r="Y800" s="186"/>
      <c r="Z800" s="186"/>
      <c r="AA800" s="186"/>
      <c r="AB800" s="186"/>
      <c r="AC800" s="186"/>
      <c r="AD800" s="186"/>
      <c r="AF800" s="150"/>
      <c r="AG800" s="150"/>
      <c r="AH800" s="150"/>
      <c r="AI800" s="150"/>
      <c r="AJ800" s="150"/>
      <c r="AK800" s="150"/>
      <c r="AL800" s="150"/>
      <c r="AM800" s="150"/>
      <c r="AN800" s="150"/>
      <c r="AO800" s="150"/>
      <c r="AP800" s="150"/>
      <c r="AQ800" s="150"/>
      <c r="AT800" s="186"/>
      <c r="AU800" s="186"/>
      <c r="AV800" s="186"/>
      <c r="AW800" s="186"/>
      <c r="AX800" s="186"/>
      <c r="AY800" s="186"/>
      <c r="AZ800" s="186"/>
      <c r="BA800" s="186"/>
      <c r="BB800" s="186"/>
      <c r="BC800" s="186"/>
      <c r="BD800" s="186"/>
      <c r="BE800" s="186"/>
      <c r="BF800" s="150"/>
      <c r="BG800" s="150"/>
    </row>
    <row r="801" spans="3:59" ht="14.6">
      <c r="C801" s="289"/>
      <c r="D801" s="150"/>
      <c r="E801" s="150"/>
      <c r="F801" s="150"/>
      <c r="G801" s="150"/>
      <c r="H801" s="150"/>
      <c r="I801" s="150"/>
      <c r="J801" s="150"/>
      <c r="K801" s="150"/>
      <c r="L801" s="150"/>
      <c r="M801" s="150"/>
      <c r="N801" s="150"/>
      <c r="O801" s="150"/>
      <c r="P801" s="150"/>
      <c r="Q801" s="150"/>
      <c r="R801" s="150"/>
      <c r="S801" s="150"/>
      <c r="T801" s="186"/>
      <c r="U801" s="186"/>
      <c r="V801" s="186"/>
      <c r="W801" s="186"/>
      <c r="X801" s="186"/>
      <c r="Y801" s="186"/>
      <c r="Z801" s="186"/>
      <c r="AA801" s="186"/>
      <c r="AB801" s="186"/>
      <c r="AC801" s="186"/>
      <c r="AD801" s="186"/>
      <c r="AF801" s="150"/>
      <c r="AG801" s="150"/>
      <c r="AH801" s="150"/>
      <c r="AI801" s="150"/>
      <c r="AJ801" s="150"/>
      <c r="AK801" s="150"/>
      <c r="AL801" s="150"/>
      <c r="AM801" s="150"/>
      <c r="AN801" s="150"/>
      <c r="AO801" s="150"/>
      <c r="AP801" s="150"/>
      <c r="AQ801" s="150"/>
      <c r="AT801" s="186"/>
      <c r="AU801" s="186"/>
      <c r="AV801" s="186"/>
      <c r="AW801" s="186"/>
      <c r="AX801" s="186"/>
      <c r="AY801" s="186"/>
      <c r="AZ801" s="186"/>
      <c r="BA801" s="186"/>
      <c r="BB801" s="186"/>
      <c r="BC801" s="186"/>
      <c r="BD801" s="186"/>
      <c r="BE801" s="186"/>
      <c r="BF801" s="150"/>
      <c r="BG801" s="150"/>
    </row>
    <row r="802" spans="3:59" ht="14.6">
      <c r="C802" s="289"/>
      <c r="D802" s="150"/>
      <c r="E802" s="150"/>
      <c r="F802" s="150"/>
      <c r="G802" s="150"/>
      <c r="H802" s="150"/>
      <c r="I802" s="150"/>
      <c r="J802" s="150"/>
      <c r="K802" s="150"/>
      <c r="L802" s="150"/>
      <c r="M802" s="150"/>
      <c r="N802" s="150"/>
      <c r="O802" s="150"/>
      <c r="P802" s="150"/>
      <c r="Q802" s="150"/>
      <c r="R802" s="150"/>
      <c r="S802" s="150"/>
      <c r="T802" s="186"/>
      <c r="U802" s="186"/>
      <c r="V802" s="186"/>
      <c r="W802" s="186"/>
      <c r="X802" s="186"/>
      <c r="Y802" s="186"/>
      <c r="Z802" s="186"/>
      <c r="AA802" s="186"/>
      <c r="AB802" s="186"/>
      <c r="AC802" s="186"/>
      <c r="AD802" s="186"/>
      <c r="AF802" s="150"/>
      <c r="AG802" s="150"/>
      <c r="AH802" s="150"/>
      <c r="AI802" s="150"/>
      <c r="AJ802" s="150"/>
      <c r="AK802" s="150"/>
      <c r="AL802" s="150"/>
      <c r="AM802" s="150"/>
      <c r="AN802" s="150"/>
      <c r="AO802" s="150"/>
      <c r="AP802" s="150"/>
      <c r="AQ802" s="150"/>
      <c r="AT802" s="186"/>
      <c r="AU802" s="186"/>
      <c r="AV802" s="186"/>
      <c r="AW802" s="186"/>
      <c r="AX802" s="186"/>
      <c r="AY802" s="186"/>
      <c r="AZ802" s="186"/>
      <c r="BA802" s="186"/>
      <c r="BB802" s="186"/>
      <c r="BC802" s="186"/>
      <c r="BD802" s="186"/>
      <c r="BE802" s="186"/>
      <c r="BF802" s="150"/>
      <c r="BG802" s="150"/>
    </row>
    <row r="803" spans="3:59" ht="14.6">
      <c r="C803" s="289"/>
      <c r="D803" s="150"/>
      <c r="E803" s="150"/>
      <c r="F803" s="150"/>
      <c r="G803" s="150"/>
      <c r="H803" s="150"/>
      <c r="I803" s="150"/>
      <c r="J803" s="150"/>
      <c r="K803" s="150"/>
      <c r="L803" s="150"/>
      <c r="M803" s="150"/>
      <c r="N803" s="150"/>
      <c r="O803" s="150"/>
      <c r="P803" s="150"/>
      <c r="Q803" s="150"/>
      <c r="R803" s="150"/>
      <c r="S803" s="150"/>
      <c r="T803" s="186"/>
      <c r="U803" s="186"/>
      <c r="V803" s="186"/>
      <c r="W803" s="186"/>
      <c r="X803" s="186"/>
      <c r="Y803" s="186"/>
      <c r="Z803" s="186"/>
      <c r="AA803" s="186"/>
      <c r="AB803" s="186"/>
      <c r="AC803" s="186"/>
      <c r="AD803" s="186"/>
      <c r="AF803" s="150"/>
      <c r="AG803" s="150"/>
      <c r="AH803" s="150"/>
      <c r="AI803" s="150"/>
      <c r="AJ803" s="150"/>
      <c r="AK803" s="150"/>
      <c r="AL803" s="150"/>
      <c r="AM803" s="150"/>
      <c r="AN803" s="150"/>
      <c r="AO803" s="150"/>
      <c r="AP803" s="150"/>
      <c r="AQ803" s="150"/>
      <c r="AT803" s="186"/>
      <c r="AU803" s="186"/>
      <c r="AV803" s="186"/>
      <c r="AW803" s="186"/>
      <c r="AX803" s="186"/>
      <c r="AY803" s="186"/>
      <c r="AZ803" s="186"/>
      <c r="BA803" s="186"/>
      <c r="BB803" s="186"/>
      <c r="BC803" s="186"/>
      <c r="BD803" s="186"/>
      <c r="BE803" s="186"/>
      <c r="BF803" s="150"/>
      <c r="BG803" s="150"/>
    </row>
    <row r="804" spans="3:59" ht="14.6">
      <c r="C804" s="289"/>
      <c r="D804" s="150"/>
      <c r="E804" s="150"/>
      <c r="F804" s="150"/>
      <c r="G804" s="150"/>
      <c r="H804" s="150"/>
      <c r="I804" s="150"/>
      <c r="J804" s="150"/>
      <c r="K804" s="150"/>
      <c r="L804" s="150"/>
      <c r="M804" s="150"/>
      <c r="N804" s="150"/>
      <c r="O804" s="150"/>
      <c r="P804" s="150"/>
      <c r="Q804" s="150"/>
      <c r="R804" s="150"/>
      <c r="S804" s="150"/>
      <c r="T804" s="186"/>
      <c r="U804" s="186"/>
      <c r="V804" s="186"/>
      <c r="W804" s="186"/>
      <c r="X804" s="186"/>
      <c r="Y804" s="186"/>
      <c r="Z804" s="186"/>
      <c r="AA804" s="186"/>
      <c r="AB804" s="186"/>
      <c r="AC804" s="186"/>
      <c r="AD804" s="186"/>
      <c r="AF804" s="150"/>
      <c r="AG804" s="150"/>
      <c r="AH804" s="150"/>
      <c r="AI804" s="150"/>
      <c r="AJ804" s="150"/>
      <c r="AK804" s="150"/>
      <c r="AL804" s="150"/>
      <c r="AM804" s="150"/>
      <c r="AN804" s="150"/>
      <c r="AO804" s="150"/>
      <c r="AP804" s="150"/>
      <c r="AQ804" s="150"/>
      <c r="AT804" s="186"/>
      <c r="AU804" s="186"/>
      <c r="AV804" s="186"/>
      <c r="AW804" s="186"/>
      <c r="AX804" s="186"/>
      <c r="AY804" s="186"/>
      <c r="AZ804" s="186"/>
      <c r="BA804" s="186"/>
      <c r="BB804" s="186"/>
      <c r="BC804" s="186"/>
      <c r="BD804" s="186"/>
      <c r="BE804" s="186"/>
      <c r="BF804" s="150"/>
      <c r="BG804" s="150"/>
    </row>
    <row r="805" spans="3:59" ht="14.6">
      <c r="C805" s="289"/>
      <c r="D805" s="150"/>
      <c r="E805" s="150"/>
      <c r="F805" s="150"/>
      <c r="G805" s="150"/>
      <c r="H805" s="150"/>
      <c r="I805" s="150"/>
      <c r="J805" s="150"/>
      <c r="K805" s="150"/>
      <c r="L805" s="150"/>
      <c r="M805" s="150"/>
      <c r="N805" s="150"/>
      <c r="O805" s="150"/>
      <c r="P805" s="150"/>
      <c r="Q805" s="150"/>
      <c r="R805" s="150"/>
      <c r="S805" s="150"/>
      <c r="T805" s="186"/>
      <c r="U805" s="186"/>
      <c r="V805" s="186"/>
      <c r="W805" s="186"/>
      <c r="X805" s="186"/>
      <c r="Y805" s="186"/>
      <c r="Z805" s="186"/>
      <c r="AA805" s="186"/>
      <c r="AB805" s="186"/>
      <c r="AC805" s="186"/>
      <c r="AD805" s="186"/>
      <c r="AF805" s="150"/>
      <c r="AG805" s="150"/>
      <c r="AH805" s="150"/>
      <c r="AI805" s="150"/>
      <c r="AJ805" s="150"/>
      <c r="AK805" s="150"/>
      <c r="AL805" s="150"/>
      <c r="AM805" s="150"/>
      <c r="AN805" s="150"/>
      <c r="AO805" s="150"/>
      <c r="AP805" s="150"/>
      <c r="AQ805" s="150"/>
      <c r="AT805" s="186"/>
      <c r="AU805" s="186"/>
      <c r="AV805" s="186"/>
      <c r="AW805" s="186"/>
      <c r="AX805" s="186"/>
      <c r="AY805" s="186"/>
      <c r="AZ805" s="186"/>
      <c r="BA805" s="186"/>
      <c r="BB805" s="186"/>
      <c r="BC805" s="186"/>
      <c r="BD805" s="186"/>
      <c r="BE805" s="186"/>
      <c r="BF805" s="150"/>
      <c r="BG805" s="150"/>
    </row>
    <row r="806" spans="3:59" ht="14.6">
      <c r="C806" s="289"/>
      <c r="D806" s="150"/>
      <c r="E806" s="150"/>
      <c r="F806" s="150"/>
      <c r="G806" s="150"/>
      <c r="H806" s="150"/>
      <c r="I806" s="150"/>
      <c r="J806" s="150"/>
      <c r="K806" s="150"/>
      <c r="L806" s="150"/>
      <c r="M806" s="150"/>
      <c r="N806" s="150"/>
      <c r="O806" s="150"/>
      <c r="P806" s="150"/>
      <c r="Q806" s="150"/>
      <c r="R806" s="150"/>
      <c r="S806" s="150"/>
      <c r="T806" s="186"/>
      <c r="U806" s="186"/>
      <c r="V806" s="186"/>
      <c r="W806" s="186"/>
      <c r="X806" s="186"/>
      <c r="Y806" s="186"/>
      <c r="Z806" s="186"/>
      <c r="AA806" s="186"/>
      <c r="AB806" s="186"/>
      <c r="AC806" s="186"/>
      <c r="AD806" s="186"/>
      <c r="AF806" s="150"/>
      <c r="AG806" s="150"/>
      <c r="AH806" s="150"/>
      <c r="AI806" s="150"/>
      <c r="AJ806" s="150"/>
      <c r="AK806" s="150"/>
      <c r="AL806" s="150"/>
      <c r="AM806" s="150"/>
      <c r="AN806" s="150"/>
      <c r="AO806" s="150"/>
      <c r="AP806" s="150"/>
      <c r="AQ806" s="150"/>
      <c r="AT806" s="186"/>
      <c r="AU806" s="186"/>
      <c r="AV806" s="186"/>
      <c r="AW806" s="186"/>
      <c r="AX806" s="186"/>
      <c r="AY806" s="186"/>
      <c r="AZ806" s="186"/>
      <c r="BA806" s="186"/>
      <c r="BB806" s="186"/>
      <c r="BC806" s="186"/>
      <c r="BD806" s="186"/>
      <c r="BE806" s="186"/>
      <c r="BF806" s="150"/>
      <c r="BG806" s="150"/>
    </row>
    <row r="807" spans="3:59" ht="14.6">
      <c r="C807" s="289"/>
      <c r="D807" s="150"/>
      <c r="E807" s="150"/>
      <c r="F807" s="150"/>
      <c r="G807" s="150"/>
      <c r="H807" s="150"/>
      <c r="I807" s="150"/>
      <c r="J807" s="150"/>
      <c r="K807" s="150"/>
      <c r="L807" s="150"/>
      <c r="M807" s="150"/>
      <c r="N807" s="150"/>
      <c r="O807" s="150"/>
      <c r="P807" s="150"/>
      <c r="Q807" s="150"/>
      <c r="R807" s="150"/>
      <c r="S807" s="150"/>
      <c r="T807" s="186"/>
      <c r="U807" s="186"/>
      <c r="V807" s="186"/>
      <c r="W807" s="186"/>
      <c r="X807" s="186"/>
      <c r="Y807" s="186"/>
      <c r="Z807" s="186"/>
      <c r="AA807" s="186"/>
      <c r="AB807" s="186"/>
      <c r="AC807" s="186"/>
      <c r="AD807" s="186"/>
      <c r="AF807" s="150"/>
      <c r="AG807" s="150"/>
      <c r="AH807" s="150"/>
      <c r="AI807" s="150"/>
      <c r="AJ807" s="150"/>
      <c r="AK807" s="150"/>
      <c r="AL807" s="150"/>
      <c r="AM807" s="150"/>
      <c r="AN807" s="150"/>
      <c r="AO807" s="150"/>
      <c r="AP807" s="150"/>
      <c r="AQ807" s="150"/>
      <c r="AT807" s="186"/>
      <c r="AU807" s="186"/>
      <c r="AV807" s="186"/>
      <c r="AW807" s="186"/>
      <c r="AX807" s="186"/>
      <c r="AY807" s="186"/>
      <c r="AZ807" s="186"/>
      <c r="BA807" s="186"/>
      <c r="BB807" s="186"/>
      <c r="BC807" s="186"/>
      <c r="BD807" s="186"/>
      <c r="BE807" s="186"/>
      <c r="BF807" s="150"/>
      <c r="BG807" s="150"/>
    </row>
    <row r="808" spans="3:59" ht="14.6">
      <c r="C808" s="289"/>
      <c r="D808" s="150"/>
      <c r="E808" s="150"/>
      <c r="F808" s="150"/>
      <c r="G808" s="150"/>
      <c r="H808" s="150"/>
      <c r="I808" s="150"/>
      <c r="J808" s="150"/>
      <c r="K808" s="150"/>
      <c r="L808" s="150"/>
      <c r="M808" s="150"/>
      <c r="N808" s="150"/>
      <c r="O808" s="150"/>
      <c r="P808" s="150"/>
      <c r="Q808" s="150"/>
      <c r="R808" s="150"/>
      <c r="S808" s="150"/>
      <c r="T808" s="186"/>
      <c r="U808" s="186"/>
      <c r="V808" s="186"/>
      <c r="W808" s="186"/>
      <c r="X808" s="186"/>
      <c r="Y808" s="186"/>
      <c r="Z808" s="186"/>
      <c r="AA808" s="186"/>
      <c r="AB808" s="186"/>
      <c r="AC808" s="186"/>
      <c r="AD808" s="186"/>
      <c r="AF808" s="150"/>
      <c r="AG808" s="150"/>
      <c r="AH808" s="150"/>
      <c r="AI808" s="150"/>
      <c r="AJ808" s="150"/>
      <c r="AK808" s="150"/>
      <c r="AL808" s="150"/>
      <c r="AM808" s="150"/>
      <c r="AN808" s="150"/>
      <c r="AO808" s="150"/>
      <c r="AP808" s="150"/>
      <c r="AQ808" s="150"/>
      <c r="AT808" s="186"/>
      <c r="AU808" s="186"/>
      <c r="AV808" s="186"/>
      <c r="AW808" s="186"/>
      <c r="AX808" s="186"/>
      <c r="AY808" s="186"/>
      <c r="AZ808" s="186"/>
      <c r="BA808" s="186"/>
      <c r="BB808" s="186"/>
      <c r="BC808" s="186"/>
      <c r="BD808" s="186"/>
      <c r="BE808" s="186"/>
      <c r="BF808" s="150"/>
      <c r="BG808" s="150"/>
    </row>
    <row r="809" spans="3:59" ht="14.6">
      <c r="C809" s="289"/>
      <c r="D809" s="150"/>
      <c r="E809" s="150"/>
      <c r="F809" s="150"/>
      <c r="G809" s="150"/>
      <c r="H809" s="150"/>
      <c r="I809" s="150"/>
      <c r="J809" s="150"/>
      <c r="K809" s="150"/>
      <c r="L809" s="150"/>
      <c r="M809" s="150"/>
      <c r="N809" s="150"/>
      <c r="O809" s="150"/>
      <c r="P809" s="150"/>
      <c r="Q809" s="150"/>
      <c r="R809" s="150"/>
      <c r="S809" s="150"/>
      <c r="T809" s="186"/>
      <c r="U809" s="186"/>
      <c r="V809" s="186"/>
      <c r="W809" s="186"/>
      <c r="X809" s="186"/>
      <c r="Y809" s="186"/>
      <c r="Z809" s="186"/>
      <c r="AA809" s="186"/>
      <c r="AB809" s="186"/>
      <c r="AC809" s="186"/>
      <c r="AD809" s="186"/>
      <c r="AF809" s="150"/>
      <c r="AG809" s="150"/>
      <c r="AH809" s="150"/>
      <c r="AI809" s="150"/>
      <c r="AJ809" s="150"/>
      <c r="AK809" s="150"/>
      <c r="AL809" s="150"/>
      <c r="AM809" s="150"/>
      <c r="AN809" s="150"/>
      <c r="AO809" s="150"/>
      <c r="AP809" s="150"/>
      <c r="AQ809" s="150"/>
      <c r="AT809" s="186"/>
      <c r="AU809" s="186"/>
      <c r="AV809" s="186"/>
      <c r="AW809" s="186"/>
      <c r="AX809" s="186"/>
      <c r="AY809" s="186"/>
      <c r="AZ809" s="186"/>
      <c r="BA809" s="186"/>
      <c r="BB809" s="186"/>
      <c r="BC809" s="186"/>
      <c r="BD809" s="186"/>
      <c r="BE809" s="186"/>
      <c r="BF809" s="150"/>
      <c r="BG809" s="150"/>
    </row>
    <row r="810" spans="3:59" ht="14.6">
      <c r="C810" s="289"/>
      <c r="D810" s="150"/>
      <c r="E810" s="150"/>
      <c r="F810" s="150"/>
      <c r="G810" s="150"/>
      <c r="H810" s="150"/>
      <c r="I810" s="150"/>
      <c r="J810" s="150"/>
      <c r="K810" s="150"/>
      <c r="L810" s="150"/>
      <c r="M810" s="150"/>
      <c r="N810" s="150"/>
      <c r="O810" s="150"/>
      <c r="P810" s="150"/>
      <c r="Q810" s="150"/>
      <c r="R810" s="150"/>
      <c r="S810" s="150"/>
      <c r="T810" s="186"/>
      <c r="U810" s="186"/>
      <c r="V810" s="186"/>
      <c r="W810" s="186"/>
      <c r="X810" s="186"/>
      <c r="Y810" s="186"/>
      <c r="Z810" s="186"/>
      <c r="AA810" s="186"/>
      <c r="AB810" s="186"/>
      <c r="AC810" s="186"/>
      <c r="AD810" s="186"/>
      <c r="AF810" s="150"/>
      <c r="AG810" s="150"/>
      <c r="AH810" s="150"/>
      <c r="AI810" s="150"/>
      <c r="AJ810" s="150"/>
      <c r="AK810" s="150"/>
      <c r="AL810" s="150"/>
      <c r="AM810" s="150"/>
      <c r="AN810" s="150"/>
      <c r="AO810" s="150"/>
      <c r="AP810" s="150"/>
      <c r="AQ810" s="150"/>
      <c r="AT810" s="186"/>
      <c r="AU810" s="186"/>
      <c r="AV810" s="186"/>
      <c r="AW810" s="186"/>
      <c r="AX810" s="186"/>
      <c r="AY810" s="186"/>
      <c r="AZ810" s="186"/>
      <c r="BA810" s="186"/>
      <c r="BB810" s="186"/>
      <c r="BC810" s="186"/>
      <c r="BD810" s="186"/>
      <c r="BE810" s="186"/>
      <c r="BF810" s="150"/>
      <c r="BG810" s="150"/>
    </row>
    <row r="811" spans="3:59" ht="14.6">
      <c r="C811" s="289"/>
      <c r="D811" s="150"/>
      <c r="E811" s="150"/>
      <c r="F811" s="150"/>
      <c r="G811" s="150"/>
      <c r="H811" s="150"/>
      <c r="I811" s="150"/>
      <c r="J811" s="150"/>
      <c r="K811" s="150"/>
      <c r="L811" s="150"/>
      <c r="M811" s="150"/>
      <c r="N811" s="150"/>
      <c r="O811" s="150"/>
      <c r="P811" s="150"/>
      <c r="Q811" s="150"/>
      <c r="R811" s="150"/>
      <c r="S811" s="150"/>
      <c r="T811" s="186"/>
      <c r="U811" s="186"/>
      <c r="V811" s="186"/>
      <c r="W811" s="186"/>
      <c r="X811" s="186"/>
      <c r="Y811" s="186"/>
      <c r="Z811" s="186"/>
      <c r="AA811" s="186"/>
      <c r="AB811" s="186"/>
      <c r="AC811" s="186"/>
      <c r="AD811" s="186"/>
      <c r="AF811" s="150"/>
      <c r="AG811" s="150"/>
      <c r="AH811" s="150"/>
      <c r="AI811" s="150"/>
      <c r="AJ811" s="150"/>
      <c r="AK811" s="150"/>
      <c r="AL811" s="150"/>
      <c r="AM811" s="150"/>
      <c r="AN811" s="150"/>
      <c r="AO811" s="150"/>
      <c r="AP811" s="150"/>
      <c r="AQ811" s="150"/>
      <c r="AT811" s="186"/>
      <c r="AU811" s="186"/>
      <c r="AV811" s="186"/>
      <c r="AW811" s="186"/>
      <c r="AX811" s="186"/>
      <c r="AY811" s="186"/>
      <c r="AZ811" s="186"/>
      <c r="BA811" s="186"/>
      <c r="BB811" s="186"/>
      <c r="BC811" s="186"/>
      <c r="BD811" s="186"/>
      <c r="BE811" s="186"/>
      <c r="BF811" s="150"/>
      <c r="BG811" s="150"/>
    </row>
    <row r="812" spans="3:59" ht="14.6">
      <c r="C812" s="289"/>
      <c r="D812" s="150"/>
      <c r="E812" s="150"/>
      <c r="F812" s="150"/>
      <c r="G812" s="150"/>
      <c r="H812" s="150"/>
      <c r="I812" s="150"/>
      <c r="J812" s="150"/>
      <c r="K812" s="150"/>
      <c r="L812" s="150"/>
      <c r="M812" s="150"/>
      <c r="N812" s="150"/>
      <c r="O812" s="150"/>
      <c r="P812" s="150"/>
      <c r="Q812" s="150"/>
      <c r="R812" s="150"/>
      <c r="S812" s="150"/>
      <c r="T812" s="186"/>
      <c r="U812" s="186"/>
      <c r="V812" s="186"/>
      <c r="W812" s="186"/>
      <c r="X812" s="186"/>
      <c r="Y812" s="186"/>
      <c r="Z812" s="186"/>
      <c r="AA812" s="186"/>
      <c r="AB812" s="186"/>
      <c r="AC812" s="186"/>
      <c r="AD812" s="186"/>
      <c r="AF812" s="150"/>
      <c r="AG812" s="150"/>
      <c r="AH812" s="150"/>
      <c r="AI812" s="150"/>
      <c r="AJ812" s="150"/>
      <c r="AK812" s="150"/>
      <c r="AL812" s="150"/>
      <c r="AM812" s="150"/>
      <c r="AN812" s="150"/>
      <c r="AO812" s="150"/>
      <c r="AP812" s="150"/>
      <c r="AQ812" s="150"/>
      <c r="AT812" s="186"/>
      <c r="AU812" s="186"/>
      <c r="AV812" s="186"/>
      <c r="AW812" s="186"/>
      <c r="AX812" s="186"/>
      <c r="AY812" s="186"/>
      <c r="AZ812" s="186"/>
      <c r="BA812" s="186"/>
      <c r="BB812" s="186"/>
      <c r="BC812" s="186"/>
      <c r="BD812" s="186"/>
      <c r="BE812" s="186"/>
      <c r="BF812" s="150"/>
      <c r="BG812" s="150"/>
    </row>
    <row r="813" spans="3:59" ht="14.6">
      <c r="C813" s="289"/>
      <c r="D813" s="150"/>
      <c r="E813" s="150"/>
      <c r="F813" s="150"/>
      <c r="G813" s="150"/>
      <c r="H813" s="150"/>
      <c r="I813" s="150"/>
      <c r="J813" s="150"/>
      <c r="K813" s="150"/>
      <c r="L813" s="150"/>
      <c r="M813" s="150"/>
      <c r="N813" s="150"/>
      <c r="O813" s="150"/>
      <c r="P813" s="150"/>
      <c r="Q813" s="150"/>
      <c r="R813" s="150"/>
      <c r="S813" s="150"/>
      <c r="T813" s="186"/>
      <c r="U813" s="186"/>
      <c r="V813" s="186"/>
      <c r="W813" s="186"/>
      <c r="X813" s="186"/>
      <c r="Y813" s="186"/>
      <c r="Z813" s="186"/>
      <c r="AA813" s="186"/>
      <c r="AB813" s="186"/>
      <c r="AC813" s="186"/>
      <c r="AD813" s="186"/>
      <c r="AF813" s="150"/>
      <c r="AG813" s="150"/>
      <c r="AH813" s="150"/>
      <c r="AI813" s="150"/>
      <c r="AJ813" s="150"/>
      <c r="AK813" s="150"/>
      <c r="AL813" s="150"/>
      <c r="AM813" s="150"/>
      <c r="AN813" s="150"/>
      <c r="AO813" s="150"/>
      <c r="AP813" s="150"/>
      <c r="AQ813" s="150"/>
      <c r="AT813" s="186"/>
      <c r="AU813" s="186"/>
      <c r="AV813" s="186"/>
      <c r="AW813" s="186"/>
      <c r="AX813" s="186"/>
      <c r="AY813" s="186"/>
      <c r="AZ813" s="186"/>
      <c r="BA813" s="186"/>
      <c r="BB813" s="186"/>
      <c r="BC813" s="186"/>
      <c r="BD813" s="186"/>
      <c r="BE813" s="186"/>
      <c r="BF813" s="150"/>
      <c r="BG813" s="150"/>
    </row>
    <row r="814" spans="3:59" ht="14.6">
      <c r="C814" s="289"/>
      <c r="D814" s="150"/>
      <c r="E814" s="150"/>
      <c r="F814" s="150"/>
      <c r="G814" s="150"/>
      <c r="H814" s="150"/>
      <c r="I814" s="150"/>
      <c r="J814" s="150"/>
      <c r="K814" s="150"/>
      <c r="L814" s="150"/>
      <c r="M814" s="150"/>
      <c r="N814" s="150"/>
      <c r="O814" s="150"/>
      <c r="P814" s="150"/>
      <c r="Q814" s="150"/>
      <c r="R814" s="150"/>
      <c r="S814" s="150"/>
      <c r="T814" s="186"/>
      <c r="U814" s="186"/>
      <c r="V814" s="186"/>
      <c r="W814" s="186"/>
      <c r="X814" s="186"/>
      <c r="Y814" s="186"/>
      <c r="Z814" s="186"/>
      <c r="AA814" s="186"/>
      <c r="AB814" s="186"/>
      <c r="AC814" s="186"/>
      <c r="AD814" s="186"/>
      <c r="AF814" s="150"/>
      <c r="AG814" s="150"/>
      <c r="AH814" s="150"/>
      <c r="AI814" s="150"/>
      <c r="AJ814" s="150"/>
      <c r="AK814" s="150"/>
      <c r="AL814" s="150"/>
      <c r="AM814" s="150"/>
      <c r="AN814" s="150"/>
      <c r="AO814" s="150"/>
      <c r="AP814" s="150"/>
      <c r="AQ814" s="150"/>
      <c r="AT814" s="186"/>
      <c r="AU814" s="186"/>
      <c r="AV814" s="186"/>
      <c r="AW814" s="186"/>
      <c r="AX814" s="186"/>
      <c r="AY814" s="186"/>
      <c r="AZ814" s="186"/>
      <c r="BA814" s="186"/>
      <c r="BB814" s="186"/>
      <c r="BC814" s="186"/>
      <c r="BD814" s="186"/>
      <c r="BE814" s="186"/>
      <c r="BF814" s="150"/>
      <c r="BG814" s="150"/>
    </row>
    <row r="815" spans="3:59" ht="14.6">
      <c r="C815" s="289"/>
      <c r="D815" s="150"/>
      <c r="E815" s="150"/>
      <c r="F815" s="150"/>
      <c r="G815" s="150"/>
      <c r="H815" s="150"/>
      <c r="I815" s="150"/>
      <c r="J815" s="150"/>
      <c r="K815" s="150"/>
      <c r="L815" s="150"/>
      <c r="M815" s="150"/>
      <c r="N815" s="150"/>
      <c r="O815" s="150"/>
      <c r="P815" s="150"/>
      <c r="Q815" s="150"/>
      <c r="R815" s="150"/>
      <c r="S815" s="150"/>
      <c r="T815" s="186"/>
      <c r="U815" s="186"/>
      <c r="V815" s="186"/>
      <c r="W815" s="186"/>
      <c r="X815" s="186"/>
      <c r="Y815" s="186"/>
      <c r="Z815" s="186"/>
      <c r="AA815" s="186"/>
      <c r="AB815" s="186"/>
      <c r="AC815" s="186"/>
      <c r="AD815" s="186"/>
      <c r="AF815" s="150"/>
      <c r="AG815" s="150"/>
      <c r="AH815" s="150"/>
      <c r="AI815" s="150"/>
      <c r="AJ815" s="150"/>
      <c r="AK815" s="150"/>
      <c r="AL815" s="150"/>
      <c r="AM815" s="150"/>
      <c r="AN815" s="150"/>
      <c r="AO815" s="150"/>
      <c r="AP815" s="150"/>
      <c r="AQ815" s="150"/>
      <c r="AT815" s="186"/>
      <c r="AU815" s="186"/>
      <c r="AV815" s="186"/>
      <c r="AW815" s="186"/>
      <c r="AX815" s="186"/>
      <c r="AY815" s="186"/>
      <c r="AZ815" s="186"/>
      <c r="BA815" s="186"/>
      <c r="BB815" s="186"/>
      <c r="BC815" s="186"/>
      <c r="BD815" s="186"/>
      <c r="BE815" s="186"/>
      <c r="BF815" s="150"/>
      <c r="BG815" s="150"/>
    </row>
    <row r="816" spans="3:59" ht="14.6">
      <c r="C816" s="289"/>
      <c r="D816" s="150"/>
      <c r="E816" s="150"/>
      <c r="F816" s="150"/>
      <c r="G816" s="150"/>
      <c r="H816" s="150"/>
      <c r="I816" s="150"/>
      <c r="J816" s="150"/>
      <c r="K816" s="150"/>
      <c r="L816" s="150"/>
      <c r="M816" s="150"/>
      <c r="N816" s="150"/>
      <c r="O816" s="150"/>
      <c r="P816" s="150"/>
      <c r="Q816" s="150"/>
      <c r="R816" s="150"/>
      <c r="S816" s="150"/>
      <c r="T816" s="186"/>
      <c r="U816" s="186"/>
      <c r="V816" s="186"/>
      <c r="W816" s="186"/>
      <c r="X816" s="186"/>
      <c r="Y816" s="186"/>
      <c r="Z816" s="186"/>
      <c r="AA816" s="186"/>
      <c r="AB816" s="186"/>
      <c r="AC816" s="186"/>
      <c r="AD816" s="186"/>
      <c r="AF816" s="150"/>
      <c r="AG816" s="150"/>
      <c r="AH816" s="150"/>
      <c r="AI816" s="150"/>
      <c r="AJ816" s="150"/>
      <c r="AK816" s="150"/>
      <c r="AL816" s="150"/>
      <c r="AM816" s="150"/>
      <c r="AN816" s="150"/>
      <c r="AO816" s="150"/>
      <c r="AP816" s="150"/>
      <c r="AQ816" s="150"/>
      <c r="AT816" s="186"/>
      <c r="AU816" s="186"/>
      <c r="AV816" s="186"/>
      <c r="AW816" s="186"/>
      <c r="AX816" s="186"/>
      <c r="AY816" s="186"/>
      <c r="AZ816" s="186"/>
      <c r="BA816" s="186"/>
      <c r="BB816" s="186"/>
      <c r="BC816" s="186"/>
      <c r="BD816" s="186"/>
      <c r="BE816" s="186"/>
      <c r="BF816" s="150"/>
      <c r="BG816" s="150"/>
    </row>
    <row r="817" spans="3:59" ht="14.6">
      <c r="C817" s="289"/>
      <c r="D817" s="150"/>
      <c r="E817" s="150"/>
      <c r="F817" s="150"/>
      <c r="G817" s="150"/>
      <c r="H817" s="150"/>
      <c r="I817" s="150"/>
      <c r="J817" s="150"/>
      <c r="K817" s="150"/>
      <c r="L817" s="150"/>
      <c r="M817" s="150"/>
      <c r="N817" s="150"/>
      <c r="O817" s="150"/>
      <c r="P817" s="150"/>
      <c r="Q817" s="150"/>
      <c r="R817" s="150"/>
      <c r="S817" s="150"/>
      <c r="T817" s="186"/>
      <c r="U817" s="186"/>
      <c r="V817" s="186"/>
      <c r="W817" s="186"/>
      <c r="X817" s="186"/>
      <c r="Y817" s="186"/>
      <c r="Z817" s="186"/>
      <c r="AA817" s="186"/>
      <c r="AB817" s="186"/>
      <c r="AC817" s="186"/>
      <c r="AD817" s="186"/>
      <c r="AF817" s="150"/>
      <c r="AG817" s="150"/>
      <c r="AH817" s="150"/>
      <c r="AI817" s="150"/>
      <c r="AJ817" s="150"/>
      <c r="AK817" s="150"/>
      <c r="AL817" s="150"/>
      <c r="AM817" s="150"/>
      <c r="AN817" s="150"/>
      <c r="AO817" s="150"/>
      <c r="AP817" s="150"/>
      <c r="AQ817" s="150"/>
      <c r="AT817" s="186"/>
      <c r="AU817" s="186"/>
      <c r="AV817" s="186"/>
      <c r="AW817" s="186"/>
      <c r="AX817" s="186"/>
      <c r="AY817" s="186"/>
      <c r="AZ817" s="186"/>
      <c r="BA817" s="186"/>
      <c r="BB817" s="186"/>
      <c r="BC817" s="186"/>
      <c r="BD817" s="186"/>
      <c r="BE817" s="186"/>
      <c r="BF817" s="150"/>
      <c r="BG817" s="150"/>
    </row>
    <row r="818" spans="3:59" ht="14.6">
      <c r="C818" s="289"/>
      <c r="D818" s="150"/>
      <c r="E818" s="150"/>
      <c r="F818" s="150"/>
      <c r="G818" s="150"/>
      <c r="H818" s="150"/>
      <c r="I818" s="150"/>
      <c r="J818" s="150"/>
      <c r="K818" s="150"/>
      <c r="L818" s="150"/>
      <c r="M818" s="150"/>
      <c r="N818" s="150"/>
      <c r="O818" s="150"/>
      <c r="P818" s="150"/>
      <c r="Q818" s="150"/>
      <c r="R818" s="150"/>
      <c r="S818" s="150"/>
      <c r="T818" s="186"/>
      <c r="U818" s="186"/>
      <c r="V818" s="186"/>
      <c r="W818" s="186"/>
      <c r="X818" s="186"/>
      <c r="Y818" s="186"/>
      <c r="Z818" s="186"/>
      <c r="AA818" s="186"/>
      <c r="AB818" s="186"/>
      <c r="AC818" s="186"/>
      <c r="AD818" s="186"/>
      <c r="AF818" s="150"/>
      <c r="AG818" s="150"/>
      <c r="AH818" s="150"/>
      <c r="AI818" s="150"/>
      <c r="AJ818" s="150"/>
      <c r="AK818" s="150"/>
      <c r="AL818" s="150"/>
      <c r="AM818" s="150"/>
      <c r="AN818" s="150"/>
      <c r="AO818" s="150"/>
      <c r="AP818" s="150"/>
      <c r="AQ818" s="150"/>
      <c r="AT818" s="186"/>
      <c r="AU818" s="186"/>
      <c r="AV818" s="186"/>
      <c r="AW818" s="186"/>
      <c r="AX818" s="186"/>
      <c r="AY818" s="186"/>
      <c r="AZ818" s="186"/>
      <c r="BA818" s="186"/>
      <c r="BB818" s="186"/>
      <c r="BC818" s="186"/>
      <c r="BD818" s="186"/>
      <c r="BE818" s="186"/>
      <c r="BF818" s="150"/>
      <c r="BG818" s="150"/>
    </row>
    <row r="819" spans="3:59" ht="14.6">
      <c r="C819" s="289"/>
      <c r="D819" s="150"/>
      <c r="E819" s="150"/>
      <c r="F819" s="150"/>
      <c r="G819" s="150"/>
      <c r="H819" s="150"/>
      <c r="I819" s="150"/>
      <c r="J819" s="150"/>
      <c r="K819" s="150"/>
      <c r="L819" s="150"/>
      <c r="M819" s="150"/>
      <c r="N819" s="150"/>
      <c r="O819" s="150"/>
      <c r="P819" s="150"/>
      <c r="Q819" s="150"/>
      <c r="R819" s="150"/>
      <c r="S819" s="150"/>
      <c r="T819" s="186"/>
      <c r="U819" s="186"/>
      <c r="V819" s="186"/>
      <c r="W819" s="186"/>
      <c r="X819" s="186"/>
      <c r="Y819" s="186"/>
      <c r="Z819" s="186"/>
      <c r="AA819" s="186"/>
      <c r="AB819" s="186"/>
      <c r="AC819" s="186"/>
      <c r="AD819" s="186"/>
      <c r="AF819" s="150"/>
      <c r="AG819" s="150"/>
      <c r="AH819" s="150"/>
      <c r="AI819" s="150"/>
      <c r="AJ819" s="150"/>
      <c r="AK819" s="150"/>
      <c r="AL819" s="150"/>
      <c r="AM819" s="150"/>
      <c r="AN819" s="150"/>
      <c r="AO819" s="150"/>
      <c r="AP819" s="150"/>
      <c r="AQ819" s="150"/>
      <c r="AT819" s="186"/>
      <c r="AU819" s="186"/>
      <c r="AV819" s="186"/>
      <c r="AW819" s="186"/>
      <c r="AX819" s="186"/>
      <c r="AY819" s="186"/>
      <c r="AZ819" s="186"/>
      <c r="BA819" s="186"/>
      <c r="BB819" s="186"/>
      <c r="BC819" s="186"/>
      <c r="BD819" s="186"/>
      <c r="BE819" s="186"/>
      <c r="BF819" s="150"/>
      <c r="BG819" s="150"/>
    </row>
    <row r="820" spans="3:59" ht="14.6">
      <c r="C820" s="289"/>
      <c r="D820" s="150"/>
      <c r="E820" s="150"/>
      <c r="F820" s="150"/>
      <c r="G820" s="150"/>
      <c r="H820" s="150"/>
      <c r="I820" s="150"/>
      <c r="J820" s="150"/>
      <c r="K820" s="150"/>
      <c r="L820" s="150"/>
      <c r="M820" s="150"/>
      <c r="N820" s="150"/>
      <c r="O820" s="150"/>
      <c r="P820" s="150"/>
      <c r="Q820" s="150"/>
      <c r="R820" s="150"/>
      <c r="S820" s="150"/>
      <c r="T820" s="186"/>
      <c r="U820" s="186"/>
      <c r="V820" s="186"/>
      <c r="W820" s="186"/>
      <c r="X820" s="186"/>
      <c r="Y820" s="186"/>
      <c r="Z820" s="186"/>
      <c r="AA820" s="186"/>
      <c r="AB820" s="186"/>
      <c r="AC820" s="186"/>
      <c r="AD820" s="186"/>
      <c r="AF820" s="150"/>
      <c r="AG820" s="150"/>
      <c r="AH820" s="150"/>
      <c r="AI820" s="150"/>
      <c r="AJ820" s="150"/>
      <c r="AK820" s="150"/>
      <c r="AL820" s="150"/>
      <c r="AM820" s="150"/>
      <c r="AN820" s="150"/>
      <c r="AO820" s="150"/>
      <c r="AP820" s="150"/>
      <c r="AQ820" s="150"/>
      <c r="AT820" s="186"/>
      <c r="AU820" s="186"/>
      <c r="AV820" s="186"/>
      <c r="AW820" s="186"/>
      <c r="AX820" s="186"/>
      <c r="AY820" s="186"/>
      <c r="AZ820" s="186"/>
      <c r="BA820" s="186"/>
      <c r="BB820" s="186"/>
      <c r="BC820" s="186"/>
      <c r="BD820" s="186"/>
      <c r="BE820" s="186"/>
      <c r="BF820" s="150"/>
      <c r="BG820" s="150"/>
    </row>
    <row r="821" spans="3:59" ht="14.6">
      <c r="C821" s="289"/>
      <c r="D821" s="150"/>
      <c r="E821" s="150"/>
      <c r="F821" s="150"/>
      <c r="G821" s="150"/>
      <c r="H821" s="150"/>
      <c r="I821" s="150"/>
      <c r="J821" s="150"/>
      <c r="K821" s="150"/>
      <c r="L821" s="150"/>
      <c r="M821" s="150"/>
      <c r="N821" s="150"/>
      <c r="O821" s="150"/>
      <c r="P821" s="150"/>
      <c r="Q821" s="150"/>
      <c r="R821" s="150"/>
      <c r="S821" s="150"/>
      <c r="T821" s="186"/>
      <c r="U821" s="186"/>
      <c r="V821" s="186"/>
      <c r="W821" s="186"/>
      <c r="X821" s="186"/>
      <c r="Y821" s="186"/>
      <c r="Z821" s="186"/>
      <c r="AA821" s="186"/>
      <c r="AB821" s="186"/>
      <c r="AC821" s="186"/>
      <c r="AD821" s="186"/>
      <c r="AF821" s="150"/>
      <c r="AG821" s="150"/>
      <c r="AH821" s="150"/>
      <c r="AI821" s="150"/>
      <c r="AJ821" s="150"/>
      <c r="AK821" s="150"/>
      <c r="AL821" s="150"/>
      <c r="AM821" s="150"/>
      <c r="AN821" s="150"/>
      <c r="AO821" s="150"/>
      <c r="AP821" s="150"/>
      <c r="AQ821" s="150"/>
      <c r="AT821" s="186"/>
      <c r="AU821" s="186"/>
      <c r="AV821" s="186"/>
      <c r="AW821" s="186"/>
      <c r="AX821" s="186"/>
      <c r="AY821" s="186"/>
      <c r="AZ821" s="186"/>
      <c r="BA821" s="186"/>
      <c r="BB821" s="186"/>
      <c r="BC821" s="186"/>
      <c r="BD821" s="186"/>
      <c r="BE821" s="186"/>
      <c r="BF821" s="150"/>
      <c r="BG821" s="150"/>
    </row>
    <row r="822" spans="3:59" ht="14.6">
      <c r="C822" s="289"/>
      <c r="D822" s="150"/>
      <c r="E822" s="150"/>
      <c r="F822" s="150"/>
      <c r="G822" s="150"/>
      <c r="H822" s="150"/>
      <c r="I822" s="150"/>
      <c r="J822" s="150"/>
      <c r="K822" s="150"/>
      <c r="L822" s="150"/>
      <c r="M822" s="150"/>
      <c r="N822" s="150"/>
      <c r="O822" s="150"/>
      <c r="P822" s="150"/>
      <c r="Q822" s="150"/>
      <c r="R822" s="150"/>
      <c r="S822" s="150"/>
      <c r="T822" s="186"/>
      <c r="U822" s="186"/>
      <c r="V822" s="186"/>
      <c r="W822" s="186"/>
      <c r="X822" s="186"/>
      <c r="Y822" s="186"/>
      <c r="Z822" s="186"/>
      <c r="AA822" s="186"/>
      <c r="AB822" s="186"/>
      <c r="AC822" s="186"/>
      <c r="AD822" s="186"/>
      <c r="AF822" s="150"/>
      <c r="AG822" s="150"/>
      <c r="AH822" s="150"/>
      <c r="AI822" s="150"/>
      <c r="AJ822" s="150"/>
      <c r="AK822" s="150"/>
      <c r="AL822" s="150"/>
      <c r="AM822" s="150"/>
      <c r="AN822" s="150"/>
      <c r="AO822" s="150"/>
      <c r="AP822" s="150"/>
      <c r="AQ822" s="150"/>
      <c r="AT822" s="186"/>
      <c r="AU822" s="186"/>
      <c r="AV822" s="186"/>
      <c r="AW822" s="186"/>
      <c r="AX822" s="186"/>
      <c r="AY822" s="186"/>
      <c r="AZ822" s="186"/>
      <c r="BA822" s="186"/>
      <c r="BB822" s="186"/>
      <c r="BC822" s="186"/>
      <c r="BD822" s="186"/>
      <c r="BE822" s="186"/>
      <c r="BF822" s="150"/>
      <c r="BG822" s="150"/>
    </row>
    <row r="823" spans="3:59" ht="14.6">
      <c r="C823" s="289"/>
      <c r="D823" s="150"/>
      <c r="E823" s="150"/>
      <c r="F823" s="150"/>
      <c r="G823" s="150"/>
      <c r="H823" s="150"/>
      <c r="I823" s="150"/>
      <c r="J823" s="150"/>
      <c r="K823" s="150"/>
      <c r="L823" s="150"/>
      <c r="M823" s="150"/>
      <c r="N823" s="150"/>
      <c r="O823" s="150"/>
      <c r="P823" s="150"/>
      <c r="Q823" s="150"/>
      <c r="R823" s="150"/>
      <c r="S823" s="150"/>
      <c r="T823" s="186"/>
      <c r="U823" s="186"/>
      <c r="V823" s="186"/>
      <c r="W823" s="186"/>
      <c r="X823" s="186"/>
      <c r="Y823" s="186"/>
      <c r="Z823" s="186"/>
      <c r="AA823" s="186"/>
      <c r="AB823" s="186"/>
      <c r="AC823" s="186"/>
      <c r="AD823" s="186"/>
      <c r="AF823" s="150"/>
      <c r="AG823" s="150"/>
      <c r="AH823" s="150"/>
      <c r="AI823" s="150"/>
      <c r="AJ823" s="150"/>
      <c r="AK823" s="150"/>
      <c r="AL823" s="150"/>
      <c r="AM823" s="150"/>
      <c r="AN823" s="150"/>
      <c r="AO823" s="150"/>
      <c r="AP823" s="150"/>
      <c r="AQ823" s="150"/>
      <c r="AT823" s="186"/>
      <c r="AU823" s="186"/>
      <c r="AV823" s="186"/>
      <c r="AW823" s="186"/>
      <c r="AX823" s="186"/>
      <c r="AY823" s="186"/>
      <c r="AZ823" s="186"/>
      <c r="BA823" s="186"/>
      <c r="BB823" s="186"/>
      <c r="BC823" s="186"/>
      <c r="BD823" s="186"/>
      <c r="BE823" s="186"/>
      <c r="BF823" s="150"/>
      <c r="BG823" s="150"/>
    </row>
    <row r="824" spans="3:59" ht="14.6">
      <c r="C824" s="289"/>
      <c r="D824" s="150"/>
      <c r="E824" s="150"/>
      <c r="F824" s="150"/>
      <c r="G824" s="150"/>
      <c r="H824" s="150"/>
      <c r="I824" s="150"/>
      <c r="J824" s="150"/>
      <c r="K824" s="150"/>
      <c r="L824" s="150"/>
      <c r="M824" s="150"/>
      <c r="N824" s="150"/>
      <c r="O824" s="150"/>
      <c r="P824" s="150"/>
      <c r="Q824" s="150"/>
      <c r="R824" s="150"/>
      <c r="S824" s="150"/>
      <c r="T824" s="186"/>
      <c r="U824" s="186"/>
      <c r="V824" s="186"/>
      <c r="W824" s="186"/>
      <c r="X824" s="186"/>
      <c r="Y824" s="186"/>
      <c r="Z824" s="186"/>
      <c r="AA824" s="186"/>
      <c r="AB824" s="186"/>
      <c r="AC824" s="186"/>
      <c r="AD824" s="186"/>
      <c r="AF824" s="150"/>
      <c r="AG824" s="150"/>
      <c r="AH824" s="150"/>
      <c r="AI824" s="150"/>
      <c r="AJ824" s="150"/>
      <c r="AK824" s="150"/>
      <c r="AL824" s="150"/>
      <c r="AM824" s="150"/>
      <c r="AN824" s="150"/>
      <c r="AO824" s="150"/>
      <c r="AP824" s="150"/>
      <c r="AQ824" s="150"/>
      <c r="AT824" s="186"/>
      <c r="AU824" s="186"/>
      <c r="AV824" s="186"/>
      <c r="AW824" s="186"/>
      <c r="AX824" s="186"/>
      <c r="AY824" s="186"/>
      <c r="AZ824" s="186"/>
      <c r="BA824" s="186"/>
      <c r="BB824" s="186"/>
      <c r="BC824" s="186"/>
      <c r="BD824" s="186"/>
      <c r="BE824" s="186"/>
      <c r="BF824" s="150"/>
      <c r="BG824" s="150"/>
    </row>
    <row r="825" spans="3:59" ht="14.6">
      <c r="C825" s="289"/>
      <c r="D825" s="150"/>
      <c r="E825" s="150"/>
      <c r="F825" s="150"/>
      <c r="G825" s="150"/>
      <c r="H825" s="150"/>
      <c r="I825" s="150"/>
      <c r="J825" s="150"/>
      <c r="K825" s="150"/>
      <c r="L825" s="150"/>
      <c r="M825" s="150"/>
      <c r="N825" s="150"/>
      <c r="O825" s="150"/>
      <c r="P825" s="150"/>
      <c r="Q825" s="150"/>
      <c r="R825" s="150"/>
      <c r="S825" s="150"/>
      <c r="T825" s="186"/>
      <c r="U825" s="186"/>
      <c r="V825" s="186"/>
      <c r="W825" s="186"/>
      <c r="X825" s="186"/>
      <c r="Y825" s="186"/>
      <c r="Z825" s="186"/>
      <c r="AA825" s="186"/>
      <c r="AB825" s="186"/>
      <c r="AC825" s="186"/>
      <c r="AD825" s="186"/>
      <c r="AF825" s="150"/>
      <c r="AG825" s="150"/>
      <c r="AH825" s="150"/>
      <c r="AI825" s="150"/>
      <c r="AJ825" s="150"/>
      <c r="AK825" s="150"/>
      <c r="AL825" s="150"/>
      <c r="AM825" s="150"/>
      <c r="AN825" s="150"/>
      <c r="AO825" s="150"/>
      <c r="AP825" s="150"/>
      <c r="AQ825" s="150"/>
      <c r="AT825" s="186"/>
      <c r="AU825" s="186"/>
      <c r="AV825" s="186"/>
      <c r="AW825" s="186"/>
      <c r="AX825" s="186"/>
      <c r="AY825" s="186"/>
      <c r="AZ825" s="186"/>
      <c r="BA825" s="186"/>
      <c r="BB825" s="186"/>
      <c r="BC825" s="186"/>
      <c r="BD825" s="186"/>
      <c r="BE825" s="186"/>
      <c r="BF825" s="150"/>
      <c r="BG825" s="150"/>
    </row>
    <row r="826" spans="3:59" ht="14.6">
      <c r="C826" s="289"/>
      <c r="D826" s="150"/>
      <c r="E826" s="150"/>
      <c r="F826" s="150"/>
      <c r="G826" s="150"/>
      <c r="H826" s="150"/>
      <c r="I826" s="150"/>
      <c r="J826" s="150"/>
      <c r="K826" s="150"/>
      <c r="L826" s="150"/>
      <c r="M826" s="150"/>
      <c r="N826" s="150"/>
      <c r="O826" s="150"/>
      <c r="P826" s="150"/>
      <c r="Q826" s="150"/>
      <c r="R826" s="150"/>
      <c r="S826" s="150"/>
      <c r="T826" s="186"/>
      <c r="U826" s="186"/>
      <c r="V826" s="186"/>
      <c r="W826" s="186"/>
      <c r="X826" s="186"/>
      <c r="Y826" s="186"/>
      <c r="Z826" s="186"/>
      <c r="AA826" s="186"/>
      <c r="AB826" s="186"/>
      <c r="AC826" s="186"/>
      <c r="AD826" s="186"/>
      <c r="AF826" s="150"/>
      <c r="AG826" s="150"/>
      <c r="AH826" s="150"/>
      <c r="AI826" s="150"/>
      <c r="AJ826" s="150"/>
      <c r="AK826" s="150"/>
      <c r="AL826" s="150"/>
      <c r="AM826" s="150"/>
      <c r="AN826" s="150"/>
      <c r="AO826" s="150"/>
      <c r="AP826" s="150"/>
      <c r="AQ826" s="150"/>
      <c r="AT826" s="186"/>
      <c r="AU826" s="186"/>
      <c r="AV826" s="186"/>
      <c r="AW826" s="186"/>
      <c r="AX826" s="186"/>
      <c r="AY826" s="186"/>
      <c r="AZ826" s="186"/>
      <c r="BA826" s="186"/>
      <c r="BB826" s="186"/>
      <c r="BC826" s="186"/>
      <c r="BD826" s="186"/>
      <c r="BE826" s="186"/>
      <c r="BF826" s="150"/>
      <c r="BG826" s="150"/>
    </row>
    <row r="827" spans="3:59" ht="14.6">
      <c r="C827" s="289"/>
      <c r="D827" s="150"/>
      <c r="E827" s="150"/>
      <c r="F827" s="150"/>
      <c r="G827" s="150"/>
      <c r="H827" s="150"/>
      <c r="I827" s="150"/>
      <c r="J827" s="150"/>
      <c r="K827" s="150"/>
      <c r="L827" s="150"/>
      <c r="M827" s="150"/>
      <c r="N827" s="150"/>
      <c r="O827" s="150"/>
      <c r="P827" s="150"/>
      <c r="Q827" s="150"/>
      <c r="R827" s="150"/>
      <c r="S827" s="150"/>
      <c r="T827" s="186"/>
      <c r="U827" s="186"/>
      <c r="V827" s="186"/>
      <c r="W827" s="186"/>
      <c r="X827" s="186"/>
      <c r="Y827" s="186"/>
      <c r="Z827" s="186"/>
      <c r="AA827" s="186"/>
      <c r="AB827" s="186"/>
      <c r="AC827" s="186"/>
      <c r="AD827" s="186"/>
      <c r="AF827" s="150"/>
      <c r="AG827" s="150"/>
      <c r="AH827" s="150"/>
      <c r="AI827" s="150"/>
      <c r="AJ827" s="150"/>
      <c r="AK827" s="150"/>
      <c r="AL827" s="150"/>
      <c r="AM827" s="150"/>
      <c r="AN827" s="150"/>
      <c r="AO827" s="150"/>
      <c r="AP827" s="150"/>
      <c r="AQ827" s="150"/>
      <c r="AT827" s="186"/>
      <c r="AU827" s="186"/>
      <c r="AV827" s="186"/>
      <c r="AW827" s="186"/>
      <c r="AX827" s="186"/>
      <c r="AY827" s="186"/>
      <c r="AZ827" s="186"/>
      <c r="BA827" s="186"/>
      <c r="BB827" s="186"/>
      <c r="BC827" s="186"/>
      <c r="BD827" s="186"/>
      <c r="BE827" s="186"/>
      <c r="BF827" s="150"/>
      <c r="BG827" s="150"/>
    </row>
    <row r="828" spans="3:59" ht="14.6">
      <c r="C828" s="289"/>
      <c r="D828" s="150"/>
      <c r="E828" s="150"/>
      <c r="F828" s="150"/>
      <c r="G828" s="150"/>
      <c r="H828" s="150"/>
      <c r="I828" s="150"/>
      <c r="J828" s="150"/>
      <c r="K828" s="150"/>
      <c r="L828" s="150"/>
      <c r="M828" s="150"/>
      <c r="N828" s="150"/>
      <c r="O828" s="150"/>
      <c r="P828" s="150"/>
      <c r="Q828" s="150"/>
      <c r="R828" s="150"/>
      <c r="S828" s="150"/>
      <c r="T828" s="186"/>
      <c r="U828" s="186"/>
      <c r="V828" s="186"/>
      <c r="W828" s="186"/>
      <c r="X828" s="186"/>
      <c r="Y828" s="186"/>
      <c r="Z828" s="186"/>
      <c r="AA828" s="186"/>
      <c r="AB828" s="186"/>
      <c r="AC828" s="186"/>
      <c r="AD828" s="186"/>
      <c r="AF828" s="150"/>
      <c r="AG828" s="150"/>
      <c r="AH828" s="150"/>
      <c r="AI828" s="150"/>
      <c r="AJ828" s="150"/>
      <c r="AK828" s="150"/>
      <c r="AL828" s="150"/>
      <c r="AM828" s="150"/>
      <c r="AN828" s="150"/>
      <c r="AO828" s="150"/>
      <c r="AP828" s="150"/>
      <c r="AQ828" s="150"/>
      <c r="AT828" s="186"/>
      <c r="AU828" s="186"/>
      <c r="AV828" s="186"/>
      <c r="AW828" s="186"/>
      <c r="AX828" s="186"/>
      <c r="AY828" s="186"/>
      <c r="AZ828" s="186"/>
      <c r="BA828" s="186"/>
      <c r="BB828" s="186"/>
      <c r="BC828" s="186"/>
      <c r="BD828" s="186"/>
      <c r="BE828" s="186"/>
      <c r="BF828" s="150"/>
      <c r="BG828" s="150"/>
    </row>
    <row r="829" spans="3:59" ht="14.6">
      <c r="C829" s="289"/>
      <c r="D829" s="150"/>
      <c r="E829" s="150"/>
      <c r="F829" s="150"/>
      <c r="G829" s="150"/>
      <c r="H829" s="150"/>
      <c r="I829" s="150"/>
      <c r="J829" s="150"/>
      <c r="K829" s="150"/>
      <c r="L829" s="150"/>
      <c r="M829" s="150"/>
      <c r="N829" s="150"/>
      <c r="O829" s="150"/>
      <c r="P829" s="150"/>
      <c r="Q829" s="150"/>
      <c r="R829" s="150"/>
      <c r="S829" s="150"/>
      <c r="T829" s="186"/>
      <c r="U829" s="186"/>
      <c r="V829" s="186"/>
      <c r="W829" s="186"/>
      <c r="X829" s="186"/>
      <c r="Y829" s="186"/>
      <c r="Z829" s="186"/>
      <c r="AA829" s="186"/>
      <c r="AB829" s="186"/>
      <c r="AC829" s="186"/>
      <c r="AD829" s="186"/>
      <c r="AF829" s="150"/>
      <c r="AG829" s="150"/>
      <c r="AH829" s="150"/>
      <c r="AI829" s="150"/>
      <c r="AJ829" s="150"/>
      <c r="AK829" s="150"/>
      <c r="AL829" s="150"/>
      <c r="AM829" s="150"/>
      <c r="AN829" s="150"/>
      <c r="AO829" s="150"/>
      <c r="AP829" s="150"/>
      <c r="AQ829" s="150"/>
      <c r="AT829" s="186"/>
      <c r="AU829" s="186"/>
      <c r="AV829" s="186"/>
      <c r="AW829" s="186"/>
      <c r="AX829" s="186"/>
      <c r="AY829" s="186"/>
      <c r="AZ829" s="186"/>
      <c r="BA829" s="186"/>
      <c r="BB829" s="186"/>
      <c r="BC829" s="186"/>
      <c r="BD829" s="186"/>
      <c r="BE829" s="186"/>
      <c r="BF829" s="150"/>
      <c r="BG829" s="150"/>
    </row>
    <row r="830" spans="3:59" ht="14.6">
      <c r="C830" s="289"/>
      <c r="D830" s="150"/>
      <c r="E830" s="150"/>
      <c r="F830" s="150"/>
      <c r="G830" s="150"/>
      <c r="H830" s="150"/>
      <c r="I830" s="150"/>
      <c r="J830" s="150"/>
      <c r="K830" s="150"/>
      <c r="L830" s="150"/>
      <c r="M830" s="150"/>
      <c r="N830" s="150"/>
      <c r="O830" s="150"/>
      <c r="P830" s="150"/>
      <c r="Q830" s="150"/>
      <c r="R830" s="150"/>
      <c r="S830" s="150"/>
      <c r="T830" s="186"/>
      <c r="U830" s="186"/>
      <c r="V830" s="186"/>
      <c r="W830" s="186"/>
      <c r="X830" s="186"/>
      <c r="Y830" s="186"/>
      <c r="Z830" s="186"/>
      <c r="AA830" s="186"/>
      <c r="AB830" s="186"/>
      <c r="AC830" s="186"/>
      <c r="AD830" s="186"/>
      <c r="AF830" s="150"/>
      <c r="AG830" s="150"/>
      <c r="AH830" s="150"/>
      <c r="AI830" s="150"/>
      <c r="AJ830" s="150"/>
      <c r="AK830" s="150"/>
      <c r="AL830" s="150"/>
      <c r="AM830" s="150"/>
      <c r="AN830" s="150"/>
      <c r="AO830" s="150"/>
      <c r="AP830" s="150"/>
      <c r="AQ830" s="150"/>
      <c r="AT830" s="186"/>
      <c r="AU830" s="186"/>
      <c r="AV830" s="186"/>
      <c r="AW830" s="186"/>
      <c r="AX830" s="186"/>
      <c r="AY830" s="186"/>
      <c r="AZ830" s="186"/>
      <c r="BA830" s="186"/>
      <c r="BB830" s="186"/>
      <c r="BC830" s="186"/>
      <c r="BD830" s="186"/>
      <c r="BE830" s="186"/>
      <c r="BF830" s="150"/>
      <c r="BG830" s="150"/>
    </row>
    <row r="831" spans="3:59" ht="14.6">
      <c r="C831" s="289"/>
      <c r="D831" s="150"/>
      <c r="E831" s="150"/>
      <c r="F831" s="150"/>
      <c r="G831" s="150"/>
      <c r="H831" s="150"/>
      <c r="I831" s="150"/>
      <c r="J831" s="150"/>
      <c r="K831" s="150"/>
      <c r="L831" s="150"/>
      <c r="M831" s="150"/>
      <c r="N831" s="150"/>
      <c r="O831" s="150"/>
      <c r="P831" s="150"/>
      <c r="Q831" s="150"/>
      <c r="R831" s="150"/>
      <c r="S831" s="150"/>
      <c r="T831" s="186"/>
      <c r="U831" s="186"/>
      <c r="V831" s="186"/>
      <c r="W831" s="186"/>
      <c r="X831" s="186"/>
      <c r="Y831" s="186"/>
      <c r="Z831" s="186"/>
      <c r="AA831" s="186"/>
      <c r="AB831" s="186"/>
      <c r="AC831" s="186"/>
      <c r="AD831" s="186"/>
      <c r="AF831" s="150"/>
      <c r="AG831" s="150"/>
      <c r="AH831" s="150"/>
      <c r="AI831" s="150"/>
      <c r="AJ831" s="150"/>
      <c r="AK831" s="150"/>
      <c r="AL831" s="150"/>
      <c r="AM831" s="150"/>
      <c r="AN831" s="150"/>
      <c r="AO831" s="150"/>
      <c r="AP831" s="150"/>
      <c r="AQ831" s="150"/>
      <c r="AT831" s="186"/>
      <c r="AU831" s="186"/>
      <c r="AV831" s="186"/>
      <c r="AW831" s="186"/>
      <c r="AX831" s="186"/>
      <c r="AY831" s="186"/>
      <c r="AZ831" s="186"/>
      <c r="BA831" s="186"/>
      <c r="BB831" s="186"/>
      <c r="BC831" s="186"/>
      <c r="BD831" s="186"/>
      <c r="BE831" s="186"/>
      <c r="BF831" s="150"/>
      <c r="BG831" s="150"/>
    </row>
    <row r="832" spans="3:59" ht="14.6">
      <c r="C832" s="289"/>
      <c r="D832" s="150"/>
      <c r="E832" s="150"/>
      <c r="F832" s="150"/>
      <c r="G832" s="150"/>
      <c r="H832" s="150"/>
      <c r="I832" s="150"/>
      <c r="J832" s="150"/>
      <c r="K832" s="150"/>
      <c r="L832" s="150"/>
      <c r="M832" s="150"/>
      <c r="N832" s="150"/>
      <c r="O832" s="150"/>
      <c r="P832" s="150"/>
      <c r="Q832" s="150"/>
      <c r="R832" s="150"/>
      <c r="S832" s="150"/>
      <c r="T832" s="186"/>
      <c r="U832" s="186"/>
      <c r="V832" s="186"/>
      <c r="W832" s="186"/>
      <c r="X832" s="186"/>
      <c r="Y832" s="186"/>
      <c r="Z832" s="186"/>
      <c r="AA832" s="186"/>
      <c r="AB832" s="186"/>
      <c r="AC832" s="186"/>
      <c r="AD832" s="186"/>
      <c r="AF832" s="150"/>
      <c r="AG832" s="150"/>
      <c r="AH832" s="150"/>
      <c r="AI832" s="150"/>
      <c r="AJ832" s="150"/>
      <c r="AK832" s="150"/>
      <c r="AL832" s="150"/>
      <c r="AM832" s="150"/>
      <c r="AN832" s="150"/>
      <c r="AO832" s="150"/>
      <c r="AP832" s="150"/>
      <c r="AQ832" s="150"/>
      <c r="AT832" s="186"/>
      <c r="AU832" s="186"/>
      <c r="AV832" s="186"/>
      <c r="AW832" s="186"/>
      <c r="AX832" s="186"/>
      <c r="AY832" s="186"/>
      <c r="AZ832" s="186"/>
      <c r="BA832" s="186"/>
      <c r="BB832" s="186"/>
      <c r="BC832" s="186"/>
      <c r="BD832" s="186"/>
      <c r="BE832" s="186"/>
      <c r="BF832" s="150"/>
      <c r="BG832" s="150"/>
    </row>
    <row r="833" spans="3:59" ht="14.6">
      <c r="C833" s="289"/>
      <c r="D833" s="150"/>
      <c r="E833" s="150"/>
      <c r="F833" s="150"/>
      <c r="G833" s="150"/>
      <c r="H833" s="150"/>
      <c r="I833" s="150"/>
      <c r="J833" s="150"/>
      <c r="K833" s="150"/>
      <c r="L833" s="150"/>
      <c r="M833" s="150"/>
      <c r="N833" s="150"/>
      <c r="O833" s="150"/>
      <c r="P833" s="150"/>
      <c r="Q833" s="150"/>
      <c r="R833" s="150"/>
      <c r="S833" s="150"/>
      <c r="T833" s="186"/>
      <c r="U833" s="186"/>
      <c r="V833" s="186"/>
      <c r="W833" s="186"/>
      <c r="X833" s="186"/>
      <c r="Y833" s="186"/>
      <c r="Z833" s="186"/>
      <c r="AA833" s="186"/>
      <c r="AB833" s="186"/>
      <c r="AC833" s="186"/>
      <c r="AD833" s="186"/>
      <c r="AF833" s="150"/>
      <c r="AG833" s="150"/>
      <c r="AH833" s="150"/>
      <c r="AI833" s="150"/>
      <c r="AJ833" s="150"/>
      <c r="AK833" s="150"/>
      <c r="AL833" s="150"/>
      <c r="AM833" s="150"/>
      <c r="AN833" s="150"/>
      <c r="AO833" s="150"/>
      <c r="AP833" s="150"/>
      <c r="AQ833" s="150"/>
      <c r="AT833" s="186"/>
      <c r="AU833" s="186"/>
      <c r="AV833" s="186"/>
      <c r="AW833" s="186"/>
      <c r="AX833" s="186"/>
      <c r="AY833" s="186"/>
      <c r="AZ833" s="186"/>
      <c r="BA833" s="186"/>
      <c r="BB833" s="186"/>
      <c r="BC833" s="186"/>
      <c r="BD833" s="186"/>
      <c r="BE833" s="186"/>
      <c r="BF833" s="150"/>
      <c r="BG833" s="150"/>
    </row>
    <row r="834" spans="3:59" ht="14.6">
      <c r="C834" s="289"/>
      <c r="D834" s="150"/>
      <c r="E834" s="150"/>
      <c r="F834" s="150"/>
      <c r="G834" s="150"/>
      <c r="H834" s="150"/>
      <c r="I834" s="150"/>
      <c r="J834" s="150"/>
      <c r="K834" s="150"/>
      <c r="L834" s="150"/>
      <c r="M834" s="150"/>
      <c r="N834" s="150"/>
      <c r="O834" s="150"/>
      <c r="P834" s="150"/>
      <c r="Q834" s="150"/>
      <c r="R834" s="150"/>
      <c r="S834" s="150"/>
      <c r="T834" s="186"/>
      <c r="U834" s="186"/>
      <c r="V834" s="186"/>
      <c r="W834" s="186"/>
      <c r="X834" s="186"/>
      <c r="Y834" s="186"/>
      <c r="Z834" s="186"/>
      <c r="AA834" s="186"/>
      <c r="AB834" s="186"/>
      <c r="AC834" s="186"/>
      <c r="AD834" s="186"/>
      <c r="AF834" s="150"/>
      <c r="AG834" s="150"/>
      <c r="AH834" s="150"/>
      <c r="AI834" s="150"/>
      <c r="AJ834" s="150"/>
      <c r="AK834" s="150"/>
      <c r="AL834" s="150"/>
      <c r="AM834" s="150"/>
      <c r="AN834" s="150"/>
      <c r="AO834" s="150"/>
      <c r="AP834" s="150"/>
      <c r="AQ834" s="150"/>
      <c r="AT834" s="186"/>
      <c r="AU834" s="186"/>
      <c r="AV834" s="186"/>
      <c r="AW834" s="186"/>
      <c r="AX834" s="186"/>
      <c r="AY834" s="186"/>
      <c r="AZ834" s="186"/>
      <c r="BA834" s="186"/>
      <c r="BB834" s="186"/>
      <c r="BC834" s="186"/>
      <c r="BD834" s="186"/>
      <c r="BE834" s="186"/>
      <c r="BF834" s="150"/>
      <c r="BG834" s="150"/>
    </row>
    <row r="835" spans="3:59" ht="14.6">
      <c r="C835" s="289"/>
      <c r="D835" s="150"/>
      <c r="E835" s="150"/>
      <c r="F835" s="150"/>
      <c r="G835" s="150"/>
      <c r="H835" s="150"/>
      <c r="I835" s="150"/>
      <c r="J835" s="150"/>
      <c r="K835" s="150"/>
      <c r="L835" s="150"/>
      <c r="M835" s="150"/>
      <c r="N835" s="150"/>
      <c r="O835" s="150"/>
      <c r="P835" s="150"/>
      <c r="Q835" s="150"/>
      <c r="R835" s="150"/>
      <c r="S835" s="150"/>
      <c r="T835" s="186"/>
      <c r="U835" s="186"/>
      <c r="V835" s="186"/>
      <c r="W835" s="186"/>
      <c r="X835" s="186"/>
      <c r="Y835" s="186"/>
      <c r="Z835" s="186"/>
      <c r="AA835" s="186"/>
      <c r="AB835" s="186"/>
      <c r="AC835" s="186"/>
      <c r="AD835" s="186"/>
      <c r="AF835" s="150"/>
      <c r="AG835" s="150"/>
      <c r="AH835" s="150"/>
      <c r="AI835" s="150"/>
      <c r="AJ835" s="150"/>
      <c r="AK835" s="150"/>
      <c r="AL835" s="150"/>
      <c r="AM835" s="150"/>
      <c r="AN835" s="150"/>
      <c r="AO835" s="150"/>
      <c r="AP835" s="150"/>
      <c r="AQ835" s="150"/>
      <c r="AT835" s="186"/>
      <c r="AU835" s="186"/>
      <c r="AV835" s="186"/>
      <c r="AW835" s="186"/>
      <c r="AX835" s="186"/>
      <c r="AY835" s="186"/>
      <c r="AZ835" s="186"/>
      <c r="BA835" s="186"/>
      <c r="BB835" s="186"/>
      <c r="BC835" s="186"/>
      <c r="BD835" s="186"/>
      <c r="BE835" s="186"/>
      <c r="BF835" s="150"/>
      <c r="BG835" s="150"/>
    </row>
    <row r="836" spans="3:59" ht="14.6">
      <c r="C836" s="289"/>
      <c r="D836" s="150"/>
      <c r="E836" s="150"/>
      <c r="F836" s="150"/>
      <c r="G836" s="150"/>
      <c r="H836" s="150"/>
      <c r="I836" s="150"/>
      <c r="J836" s="150"/>
      <c r="K836" s="150"/>
      <c r="L836" s="150"/>
      <c r="M836" s="150"/>
      <c r="N836" s="150"/>
      <c r="O836" s="150"/>
      <c r="P836" s="150"/>
      <c r="Q836" s="150"/>
      <c r="R836" s="150"/>
      <c r="S836" s="150"/>
      <c r="T836" s="186"/>
      <c r="U836" s="186"/>
      <c r="V836" s="186"/>
      <c r="W836" s="186"/>
      <c r="X836" s="186"/>
      <c r="Y836" s="186"/>
      <c r="Z836" s="186"/>
      <c r="AA836" s="186"/>
      <c r="AB836" s="186"/>
      <c r="AC836" s="186"/>
      <c r="AD836" s="186"/>
      <c r="AF836" s="150"/>
      <c r="AG836" s="150"/>
      <c r="AH836" s="150"/>
      <c r="AI836" s="150"/>
      <c r="AJ836" s="150"/>
      <c r="AK836" s="150"/>
      <c r="AL836" s="150"/>
      <c r="AM836" s="150"/>
      <c r="AN836" s="150"/>
      <c r="AO836" s="150"/>
      <c r="AP836" s="150"/>
      <c r="AQ836" s="150"/>
      <c r="AT836" s="186"/>
      <c r="AU836" s="186"/>
      <c r="AV836" s="186"/>
      <c r="AW836" s="186"/>
      <c r="AX836" s="186"/>
      <c r="AY836" s="186"/>
      <c r="AZ836" s="186"/>
      <c r="BA836" s="186"/>
      <c r="BB836" s="186"/>
      <c r="BC836" s="186"/>
      <c r="BD836" s="186"/>
      <c r="BE836" s="186"/>
      <c r="BF836" s="150"/>
      <c r="BG836" s="150"/>
    </row>
    <row r="837" spans="3:59" ht="14.6">
      <c r="C837" s="289"/>
      <c r="D837" s="150"/>
      <c r="E837" s="150"/>
      <c r="F837" s="150"/>
      <c r="G837" s="150"/>
      <c r="H837" s="150"/>
      <c r="I837" s="150"/>
      <c r="J837" s="150"/>
      <c r="K837" s="150"/>
      <c r="L837" s="150"/>
      <c r="M837" s="150"/>
      <c r="N837" s="150"/>
      <c r="O837" s="150"/>
      <c r="P837" s="150"/>
      <c r="Q837" s="150"/>
      <c r="R837" s="150"/>
      <c r="S837" s="150"/>
      <c r="T837" s="186"/>
      <c r="U837" s="186"/>
      <c r="V837" s="186"/>
      <c r="W837" s="186"/>
      <c r="X837" s="186"/>
      <c r="Y837" s="186"/>
      <c r="Z837" s="186"/>
      <c r="AA837" s="186"/>
      <c r="AB837" s="186"/>
      <c r="AC837" s="186"/>
      <c r="AD837" s="186"/>
      <c r="AF837" s="150"/>
      <c r="AG837" s="150"/>
      <c r="AH837" s="150"/>
      <c r="AI837" s="150"/>
      <c r="AJ837" s="150"/>
      <c r="AK837" s="150"/>
      <c r="AL837" s="150"/>
      <c r="AM837" s="150"/>
      <c r="AN837" s="150"/>
      <c r="AO837" s="150"/>
      <c r="AP837" s="150"/>
      <c r="AQ837" s="150"/>
      <c r="AT837" s="186"/>
      <c r="AU837" s="186"/>
      <c r="AV837" s="186"/>
      <c r="AW837" s="186"/>
      <c r="AX837" s="186"/>
      <c r="AY837" s="186"/>
      <c r="AZ837" s="186"/>
      <c r="BA837" s="186"/>
      <c r="BB837" s="186"/>
      <c r="BC837" s="186"/>
      <c r="BD837" s="186"/>
      <c r="BE837" s="186"/>
      <c r="BF837" s="150"/>
      <c r="BG837" s="150"/>
    </row>
    <row r="838" spans="3:59" ht="14.6">
      <c r="C838" s="289"/>
      <c r="D838" s="150"/>
      <c r="E838" s="150"/>
      <c r="F838" s="150"/>
      <c r="G838" s="150"/>
      <c r="H838" s="150"/>
      <c r="I838" s="150"/>
      <c r="J838" s="150"/>
      <c r="K838" s="150"/>
      <c r="L838" s="150"/>
      <c r="M838" s="150"/>
      <c r="N838" s="150"/>
      <c r="O838" s="150"/>
      <c r="P838" s="150"/>
      <c r="Q838" s="150"/>
      <c r="R838" s="150"/>
      <c r="S838" s="150"/>
      <c r="T838" s="186"/>
      <c r="U838" s="186"/>
      <c r="V838" s="186"/>
      <c r="W838" s="186"/>
      <c r="X838" s="186"/>
      <c r="Y838" s="186"/>
      <c r="Z838" s="186"/>
      <c r="AA838" s="186"/>
      <c r="AB838" s="186"/>
      <c r="AC838" s="186"/>
      <c r="AD838" s="186"/>
      <c r="AF838" s="150"/>
      <c r="AG838" s="150"/>
      <c r="AH838" s="150"/>
      <c r="AI838" s="150"/>
      <c r="AJ838" s="150"/>
      <c r="AK838" s="150"/>
      <c r="AL838" s="150"/>
      <c r="AM838" s="150"/>
      <c r="AN838" s="150"/>
      <c r="AO838" s="150"/>
      <c r="AP838" s="150"/>
      <c r="AQ838" s="150"/>
      <c r="AT838" s="186"/>
      <c r="AU838" s="186"/>
      <c r="AV838" s="186"/>
      <c r="AW838" s="186"/>
      <c r="AX838" s="186"/>
      <c r="AY838" s="186"/>
      <c r="AZ838" s="186"/>
      <c r="BA838" s="186"/>
      <c r="BB838" s="186"/>
      <c r="BC838" s="186"/>
      <c r="BD838" s="186"/>
      <c r="BE838" s="186"/>
      <c r="BF838" s="150"/>
      <c r="BG838" s="150"/>
    </row>
    <row r="839" spans="3:59" ht="14.6">
      <c r="C839" s="289"/>
      <c r="D839" s="150"/>
      <c r="E839" s="150"/>
      <c r="F839" s="150"/>
      <c r="G839" s="150"/>
      <c r="H839" s="150"/>
      <c r="I839" s="150"/>
      <c r="J839" s="150"/>
      <c r="K839" s="150"/>
      <c r="L839" s="150"/>
      <c r="M839" s="150"/>
      <c r="N839" s="150"/>
      <c r="O839" s="150"/>
      <c r="P839" s="150"/>
      <c r="Q839" s="150"/>
      <c r="R839" s="150"/>
      <c r="S839" s="150"/>
      <c r="T839" s="186"/>
      <c r="U839" s="186"/>
      <c r="V839" s="186"/>
      <c r="W839" s="186"/>
      <c r="X839" s="186"/>
      <c r="Y839" s="186"/>
      <c r="Z839" s="186"/>
      <c r="AA839" s="186"/>
      <c r="AB839" s="186"/>
      <c r="AC839" s="186"/>
      <c r="AD839" s="186"/>
      <c r="AF839" s="150"/>
      <c r="AG839" s="150"/>
      <c r="AH839" s="150"/>
      <c r="AI839" s="150"/>
      <c r="AJ839" s="150"/>
      <c r="AK839" s="150"/>
      <c r="AL839" s="150"/>
      <c r="AM839" s="150"/>
      <c r="AN839" s="150"/>
      <c r="AO839" s="150"/>
      <c r="AP839" s="150"/>
      <c r="AQ839" s="150"/>
      <c r="AT839" s="186"/>
      <c r="AU839" s="186"/>
      <c r="AV839" s="186"/>
      <c r="AW839" s="186"/>
      <c r="AX839" s="186"/>
      <c r="AY839" s="186"/>
      <c r="AZ839" s="186"/>
      <c r="BA839" s="186"/>
      <c r="BB839" s="186"/>
      <c r="BC839" s="186"/>
      <c r="BD839" s="186"/>
      <c r="BE839" s="186"/>
      <c r="BF839" s="150"/>
      <c r="BG839" s="150"/>
    </row>
    <row r="840" spans="3:59" ht="14.6">
      <c r="C840" s="289"/>
      <c r="D840" s="150"/>
      <c r="E840" s="150"/>
      <c r="F840" s="150"/>
      <c r="G840" s="150"/>
      <c r="H840" s="150"/>
      <c r="I840" s="150"/>
      <c r="J840" s="150"/>
      <c r="K840" s="150"/>
      <c r="L840" s="150"/>
      <c r="M840" s="150"/>
      <c r="N840" s="150"/>
      <c r="O840" s="150"/>
      <c r="P840" s="150"/>
      <c r="Q840" s="150"/>
      <c r="R840" s="150"/>
      <c r="S840" s="150"/>
      <c r="T840" s="186"/>
      <c r="U840" s="186"/>
      <c r="V840" s="186"/>
      <c r="W840" s="186"/>
      <c r="X840" s="186"/>
      <c r="Y840" s="186"/>
      <c r="Z840" s="186"/>
      <c r="AA840" s="186"/>
      <c r="AB840" s="186"/>
      <c r="AC840" s="186"/>
      <c r="AD840" s="186"/>
      <c r="AF840" s="150"/>
      <c r="AG840" s="150"/>
      <c r="AH840" s="150"/>
      <c r="AI840" s="150"/>
      <c r="AJ840" s="150"/>
      <c r="AK840" s="150"/>
      <c r="AL840" s="150"/>
      <c r="AM840" s="150"/>
      <c r="AN840" s="150"/>
      <c r="AO840" s="150"/>
      <c r="AP840" s="150"/>
      <c r="AQ840" s="150"/>
      <c r="AT840" s="186"/>
      <c r="AU840" s="186"/>
      <c r="AV840" s="186"/>
      <c r="AW840" s="186"/>
      <c r="AX840" s="186"/>
      <c r="AY840" s="186"/>
      <c r="AZ840" s="186"/>
      <c r="BA840" s="186"/>
      <c r="BB840" s="186"/>
      <c r="BC840" s="186"/>
      <c r="BD840" s="186"/>
      <c r="BE840" s="186"/>
      <c r="BF840" s="150"/>
      <c r="BG840" s="150"/>
    </row>
    <row r="841" spans="3:59" ht="14.6">
      <c r="C841" s="289"/>
      <c r="D841" s="150"/>
      <c r="E841" s="150"/>
      <c r="F841" s="150"/>
      <c r="G841" s="150"/>
      <c r="H841" s="150"/>
      <c r="I841" s="150"/>
      <c r="J841" s="150"/>
      <c r="K841" s="150"/>
      <c r="L841" s="150"/>
      <c r="M841" s="150"/>
      <c r="N841" s="150"/>
      <c r="O841" s="150"/>
      <c r="P841" s="150"/>
      <c r="Q841" s="150"/>
      <c r="R841" s="150"/>
      <c r="S841" s="150"/>
      <c r="T841" s="186"/>
      <c r="U841" s="186"/>
      <c r="V841" s="186"/>
      <c r="W841" s="186"/>
      <c r="X841" s="186"/>
      <c r="Y841" s="186"/>
      <c r="Z841" s="186"/>
      <c r="AA841" s="186"/>
      <c r="AB841" s="186"/>
      <c r="AC841" s="186"/>
      <c r="AD841" s="186"/>
      <c r="AF841" s="150"/>
      <c r="AG841" s="150"/>
      <c r="AH841" s="150"/>
      <c r="AI841" s="150"/>
      <c r="AJ841" s="150"/>
      <c r="AK841" s="150"/>
      <c r="AL841" s="150"/>
      <c r="AM841" s="150"/>
      <c r="AN841" s="150"/>
      <c r="AO841" s="150"/>
      <c r="AP841" s="150"/>
      <c r="AQ841" s="150"/>
      <c r="AT841" s="186"/>
      <c r="AU841" s="186"/>
      <c r="AV841" s="186"/>
      <c r="AW841" s="186"/>
      <c r="AX841" s="186"/>
      <c r="AY841" s="186"/>
      <c r="AZ841" s="186"/>
      <c r="BA841" s="186"/>
      <c r="BB841" s="186"/>
      <c r="BC841" s="186"/>
      <c r="BD841" s="186"/>
      <c r="BE841" s="186"/>
      <c r="BF841" s="150"/>
      <c r="BG841" s="150"/>
    </row>
    <row r="842" spans="3:59" ht="14.6">
      <c r="C842" s="289"/>
      <c r="D842" s="150"/>
      <c r="E842" s="150"/>
      <c r="F842" s="150"/>
      <c r="G842" s="150"/>
      <c r="H842" s="150"/>
      <c r="I842" s="150"/>
      <c r="J842" s="150"/>
      <c r="K842" s="150"/>
      <c r="L842" s="150"/>
      <c r="M842" s="150"/>
      <c r="N842" s="150"/>
      <c r="O842" s="150"/>
      <c r="P842" s="150"/>
      <c r="Q842" s="150"/>
      <c r="R842" s="150"/>
      <c r="S842" s="150"/>
      <c r="T842" s="186"/>
      <c r="U842" s="186"/>
      <c r="V842" s="186"/>
      <c r="W842" s="186"/>
      <c r="X842" s="186"/>
      <c r="Y842" s="186"/>
      <c r="Z842" s="186"/>
      <c r="AA842" s="186"/>
      <c r="AB842" s="186"/>
      <c r="AC842" s="186"/>
      <c r="AD842" s="186"/>
      <c r="AF842" s="150"/>
      <c r="AG842" s="150"/>
      <c r="AH842" s="150"/>
      <c r="AI842" s="150"/>
      <c r="AJ842" s="150"/>
      <c r="AK842" s="150"/>
      <c r="AL842" s="150"/>
      <c r="AM842" s="150"/>
      <c r="AN842" s="150"/>
      <c r="AO842" s="150"/>
      <c r="AP842" s="150"/>
      <c r="AQ842" s="150"/>
      <c r="AT842" s="186"/>
      <c r="AU842" s="186"/>
      <c r="AV842" s="186"/>
      <c r="AW842" s="186"/>
      <c r="AX842" s="186"/>
      <c r="AY842" s="186"/>
      <c r="AZ842" s="186"/>
      <c r="BA842" s="186"/>
      <c r="BB842" s="186"/>
      <c r="BC842" s="186"/>
      <c r="BD842" s="186"/>
      <c r="BE842" s="186"/>
      <c r="BF842" s="150"/>
      <c r="BG842" s="150"/>
    </row>
    <row r="843" spans="3:59" ht="14.6">
      <c r="C843" s="289"/>
      <c r="D843" s="150"/>
      <c r="E843" s="150"/>
      <c r="F843" s="150"/>
      <c r="G843" s="150"/>
      <c r="H843" s="150"/>
      <c r="I843" s="150"/>
      <c r="J843" s="150"/>
      <c r="K843" s="150"/>
      <c r="L843" s="150"/>
      <c r="M843" s="150"/>
      <c r="N843" s="150"/>
      <c r="O843" s="150"/>
      <c r="P843" s="150"/>
      <c r="Q843" s="150"/>
      <c r="R843" s="150"/>
      <c r="S843" s="150"/>
      <c r="T843" s="186"/>
      <c r="U843" s="186"/>
      <c r="V843" s="186"/>
      <c r="W843" s="186"/>
      <c r="X843" s="186"/>
      <c r="Y843" s="186"/>
      <c r="Z843" s="186"/>
      <c r="AA843" s="186"/>
      <c r="AB843" s="186"/>
      <c r="AC843" s="186"/>
      <c r="AD843" s="186"/>
      <c r="AF843" s="150"/>
      <c r="AG843" s="150"/>
      <c r="AH843" s="150"/>
      <c r="AI843" s="150"/>
      <c r="AJ843" s="150"/>
      <c r="AK843" s="150"/>
      <c r="AL843" s="150"/>
      <c r="AM843" s="150"/>
      <c r="AN843" s="150"/>
      <c r="AO843" s="150"/>
      <c r="AP843" s="150"/>
      <c r="AQ843" s="150"/>
      <c r="AT843" s="186"/>
      <c r="AU843" s="186"/>
      <c r="AV843" s="186"/>
      <c r="AW843" s="186"/>
      <c r="AX843" s="186"/>
      <c r="AY843" s="186"/>
      <c r="AZ843" s="186"/>
      <c r="BA843" s="186"/>
      <c r="BB843" s="186"/>
      <c r="BC843" s="186"/>
      <c r="BD843" s="186"/>
      <c r="BE843" s="186"/>
      <c r="BF843" s="150"/>
      <c r="BG843" s="150"/>
    </row>
    <row r="844" spans="3:59" ht="14.6">
      <c r="C844" s="289"/>
      <c r="D844" s="150"/>
      <c r="E844" s="150"/>
      <c r="F844" s="150"/>
      <c r="G844" s="150"/>
      <c r="H844" s="150"/>
      <c r="I844" s="150"/>
      <c r="J844" s="150"/>
      <c r="K844" s="150"/>
      <c r="L844" s="150"/>
      <c r="M844" s="150"/>
      <c r="N844" s="150"/>
      <c r="O844" s="150"/>
      <c r="P844" s="150"/>
      <c r="Q844" s="150"/>
      <c r="R844" s="150"/>
      <c r="S844" s="150"/>
      <c r="T844" s="186"/>
      <c r="U844" s="186"/>
      <c r="V844" s="186"/>
      <c r="W844" s="186"/>
      <c r="X844" s="186"/>
      <c r="Y844" s="186"/>
      <c r="Z844" s="186"/>
      <c r="AA844" s="186"/>
      <c r="AB844" s="186"/>
      <c r="AC844" s="186"/>
      <c r="AD844" s="186"/>
      <c r="AF844" s="150"/>
      <c r="AG844" s="150"/>
      <c r="AH844" s="150"/>
      <c r="AI844" s="150"/>
      <c r="AJ844" s="150"/>
      <c r="AK844" s="150"/>
      <c r="AL844" s="150"/>
      <c r="AM844" s="150"/>
      <c r="AN844" s="150"/>
      <c r="AO844" s="150"/>
      <c r="AP844" s="150"/>
      <c r="AQ844" s="150"/>
      <c r="AT844" s="186"/>
      <c r="AU844" s="186"/>
      <c r="AV844" s="186"/>
      <c r="AW844" s="186"/>
      <c r="AX844" s="186"/>
      <c r="AY844" s="186"/>
      <c r="AZ844" s="186"/>
      <c r="BA844" s="186"/>
      <c r="BB844" s="186"/>
      <c r="BC844" s="186"/>
      <c r="BD844" s="186"/>
      <c r="BE844" s="186"/>
      <c r="BF844" s="150"/>
      <c r="BG844" s="150"/>
    </row>
    <row r="845" spans="3:59" ht="14.6">
      <c r="C845" s="289"/>
      <c r="D845" s="150"/>
      <c r="E845" s="150"/>
      <c r="F845" s="150"/>
      <c r="G845" s="150"/>
      <c r="H845" s="150"/>
      <c r="I845" s="150"/>
      <c r="J845" s="150"/>
      <c r="K845" s="150"/>
      <c r="L845" s="150"/>
      <c r="M845" s="150"/>
      <c r="N845" s="150"/>
      <c r="O845" s="150"/>
      <c r="P845" s="150"/>
      <c r="Q845" s="150"/>
      <c r="R845" s="150"/>
      <c r="S845" s="150"/>
      <c r="T845" s="186"/>
      <c r="U845" s="186"/>
      <c r="V845" s="186"/>
      <c r="W845" s="186"/>
      <c r="X845" s="186"/>
      <c r="Y845" s="186"/>
      <c r="Z845" s="186"/>
      <c r="AA845" s="186"/>
      <c r="AB845" s="186"/>
      <c r="AC845" s="186"/>
      <c r="AD845" s="186"/>
      <c r="AF845" s="150"/>
      <c r="AG845" s="150"/>
      <c r="AH845" s="150"/>
      <c r="AI845" s="150"/>
      <c r="AJ845" s="150"/>
      <c r="AK845" s="150"/>
      <c r="AL845" s="150"/>
      <c r="AM845" s="150"/>
      <c r="AN845" s="150"/>
      <c r="AO845" s="150"/>
      <c r="AP845" s="150"/>
      <c r="AQ845" s="150"/>
      <c r="AT845" s="186"/>
      <c r="AU845" s="186"/>
      <c r="AV845" s="186"/>
      <c r="AW845" s="186"/>
      <c r="AX845" s="186"/>
      <c r="AY845" s="186"/>
      <c r="AZ845" s="186"/>
      <c r="BA845" s="186"/>
      <c r="BB845" s="186"/>
      <c r="BC845" s="186"/>
      <c r="BD845" s="186"/>
      <c r="BE845" s="186"/>
      <c r="BF845" s="150"/>
      <c r="BG845" s="150"/>
    </row>
    <row r="846" spans="3:59" ht="14.6">
      <c r="C846" s="289"/>
      <c r="D846" s="150"/>
      <c r="E846" s="150"/>
      <c r="F846" s="150"/>
      <c r="G846" s="150"/>
      <c r="H846" s="150"/>
      <c r="I846" s="150"/>
      <c r="J846" s="150"/>
      <c r="K846" s="150"/>
      <c r="L846" s="150"/>
      <c r="M846" s="150"/>
      <c r="N846" s="150"/>
      <c r="O846" s="150"/>
      <c r="P846" s="150"/>
      <c r="Q846" s="150"/>
      <c r="R846" s="150"/>
      <c r="S846" s="150"/>
      <c r="T846" s="186"/>
      <c r="U846" s="186"/>
      <c r="V846" s="186"/>
      <c r="W846" s="186"/>
      <c r="X846" s="186"/>
      <c r="Y846" s="186"/>
      <c r="Z846" s="186"/>
      <c r="AA846" s="186"/>
      <c r="AB846" s="186"/>
      <c r="AC846" s="186"/>
      <c r="AD846" s="186"/>
      <c r="AF846" s="150"/>
      <c r="AG846" s="150"/>
      <c r="AH846" s="150"/>
      <c r="AI846" s="150"/>
      <c r="AJ846" s="150"/>
      <c r="AK846" s="150"/>
      <c r="AL846" s="150"/>
      <c r="AM846" s="150"/>
      <c r="AN846" s="150"/>
      <c r="AO846" s="150"/>
      <c r="AP846" s="150"/>
      <c r="AQ846" s="150"/>
      <c r="AT846" s="186"/>
      <c r="AU846" s="186"/>
      <c r="AV846" s="186"/>
      <c r="AW846" s="186"/>
      <c r="AX846" s="186"/>
      <c r="AY846" s="186"/>
      <c r="AZ846" s="186"/>
      <c r="BA846" s="186"/>
      <c r="BB846" s="186"/>
      <c r="BC846" s="186"/>
      <c r="BD846" s="186"/>
      <c r="BE846" s="186"/>
      <c r="BF846" s="150"/>
      <c r="BG846" s="150"/>
    </row>
    <row r="847" spans="3:59" ht="14.6">
      <c r="C847" s="289"/>
      <c r="D847" s="150"/>
      <c r="E847" s="150"/>
      <c r="F847" s="150"/>
      <c r="G847" s="150"/>
      <c r="H847" s="150"/>
      <c r="I847" s="150"/>
      <c r="J847" s="150"/>
      <c r="K847" s="150"/>
      <c r="L847" s="150"/>
      <c r="M847" s="150"/>
      <c r="N847" s="150"/>
      <c r="O847" s="150"/>
      <c r="P847" s="150"/>
      <c r="Q847" s="150"/>
      <c r="R847" s="150"/>
      <c r="S847" s="150"/>
      <c r="T847" s="186"/>
      <c r="U847" s="186"/>
      <c r="V847" s="186"/>
      <c r="W847" s="186"/>
      <c r="X847" s="186"/>
      <c r="Y847" s="186"/>
      <c r="Z847" s="186"/>
      <c r="AA847" s="186"/>
      <c r="AB847" s="186"/>
      <c r="AC847" s="186"/>
      <c r="AD847" s="186"/>
      <c r="AF847" s="150"/>
      <c r="AG847" s="150"/>
      <c r="AH847" s="150"/>
      <c r="AI847" s="150"/>
      <c r="AJ847" s="150"/>
      <c r="AK847" s="150"/>
      <c r="AL847" s="150"/>
      <c r="AM847" s="150"/>
      <c r="AN847" s="150"/>
      <c r="AO847" s="150"/>
      <c r="AP847" s="150"/>
      <c r="AQ847" s="150"/>
      <c r="AT847" s="186"/>
      <c r="AU847" s="186"/>
      <c r="AV847" s="186"/>
      <c r="AW847" s="186"/>
      <c r="AX847" s="186"/>
      <c r="AY847" s="186"/>
      <c r="AZ847" s="186"/>
      <c r="BA847" s="186"/>
      <c r="BB847" s="186"/>
      <c r="BC847" s="186"/>
      <c r="BD847" s="186"/>
      <c r="BE847" s="186"/>
      <c r="BF847" s="150"/>
      <c r="BG847" s="150"/>
    </row>
    <row r="848" spans="3:59" ht="14.6">
      <c r="C848" s="289"/>
      <c r="D848" s="150"/>
      <c r="E848" s="150"/>
      <c r="F848" s="150"/>
      <c r="G848" s="150"/>
      <c r="H848" s="150"/>
      <c r="I848" s="150"/>
      <c r="J848" s="150"/>
      <c r="K848" s="150"/>
      <c r="L848" s="150"/>
      <c r="M848" s="150"/>
      <c r="N848" s="150"/>
      <c r="O848" s="150"/>
      <c r="P848" s="150"/>
      <c r="Q848" s="150"/>
      <c r="R848" s="150"/>
      <c r="S848" s="150"/>
      <c r="T848" s="186"/>
      <c r="U848" s="186"/>
      <c r="V848" s="186"/>
      <c r="W848" s="186"/>
      <c r="X848" s="186"/>
      <c r="Y848" s="186"/>
      <c r="Z848" s="186"/>
      <c r="AA848" s="186"/>
      <c r="AB848" s="186"/>
      <c r="AC848" s="186"/>
      <c r="AD848" s="186"/>
      <c r="AF848" s="150"/>
      <c r="AG848" s="150"/>
      <c r="AH848" s="150"/>
      <c r="AI848" s="150"/>
      <c r="AJ848" s="150"/>
      <c r="AK848" s="150"/>
      <c r="AL848" s="150"/>
      <c r="AM848" s="150"/>
      <c r="AN848" s="150"/>
      <c r="AO848" s="150"/>
      <c r="AP848" s="150"/>
      <c r="AQ848" s="150"/>
      <c r="AT848" s="186"/>
      <c r="AU848" s="186"/>
      <c r="AV848" s="186"/>
      <c r="AW848" s="186"/>
      <c r="AX848" s="186"/>
      <c r="AY848" s="186"/>
      <c r="AZ848" s="186"/>
      <c r="BA848" s="186"/>
      <c r="BB848" s="186"/>
      <c r="BC848" s="186"/>
      <c r="BD848" s="186"/>
      <c r="BE848" s="186"/>
      <c r="BF848" s="150"/>
      <c r="BG848" s="150"/>
    </row>
    <row r="849" spans="3:59" ht="14.6">
      <c r="C849" s="289"/>
      <c r="D849" s="150"/>
      <c r="E849" s="150"/>
      <c r="F849" s="150"/>
      <c r="G849" s="150"/>
      <c r="H849" s="150"/>
      <c r="I849" s="150"/>
      <c r="J849" s="150"/>
      <c r="K849" s="150"/>
      <c r="L849" s="150"/>
      <c r="M849" s="150"/>
      <c r="N849" s="150"/>
      <c r="O849" s="150"/>
      <c r="P849" s="150"/>
      <c r="Q849" s="150"/>
      <c r="R849" s="150"/>
      <c r="S849" s="150"/>
      <c r="T849" s="186"/>
      <c r="U849" s="186"/>
      <c r="V849" s="186"/>
      <c r="W849" s="186"/>
      <c r="X849" s="186"/>
      <c r="Y849" s="186"/>
      <c r="Z849" s="186"/>
      <c r="AA849" s="186"/>
      <c r="AB849" s="186"/>
      <c r="AC849" s="186"/>
      <c r="AD849" s="186"/>
      <c r="AF849" s="150"/>
      <c r="AG849" s="150"/>
      <c r="AH849" s="150"/>
      <c r="AI849" s="150"/>
      <c r="AJ849" s="150"/>
      <c r="AK849" s="150"/>
      <c r="AL849" s="150"/>
      <c r="AM849" s="150"/>
      <c r="AN849" s="150"/>
      <c r="AO849" s="150"/>
      <c r="AP849" s="150"/>
      <c r="AQ849" s="150"/>
      <c r="AT849" s="186"/>
      <c r="AU849" s="186"/>
      <c r="AV849" s="186"/>
      <c r="AW849" s="186"/>
      <c r="AX849" s="186"/>
      <c r="AY849" s="186"/>
      <c r="AZ849" s="186"/>
      <c r="BA849" s="186"/>
      <c r="BB849" s="186"/>
      <c r="BC849" s="186"/>
      <c r="BD849" s="186"/>
      <c r="BE849" s="186"/>
      <c r="BF849" s="150"/>
      <c r="BG849" s="150"/>
    </row>
    <row r="850" spans="3:59" ht="14.6">
      <c r="C850" s="289"/>
      <c r="D850" s="150"/>
      <c r="E850" s="150"/>
      <c r="F850" s="150"/>
      <c r="G850" s="150"/>
      <c r="H850" s="150"/>
      <c r="I850" s="150"/>
      <c r="J850" s="150"/>
      <c r="K850" s="150"/>
      <c r="L850" s="150"/>
      <c r="M850" s="150"/>
      <c r="N850" s="150"/>
      <c r="O850" s="150"/>
      <c r="P850" s="150"/>
      <c r="Q850" s="150"/>
      <c r="R850" s="150"/>
      <c r="S850" s="150"/>
      <c r="T850" s="186"/>
      <c r="U850" s="186"/>
      <c r="V850" s="186"/>
      <c r="W850" s="186"/>
      <c r="X850" s="186"/>
      <c r="Y850" s="186"/>
      <c r="Z850" s="186"/>
      <c r="AA850" s="186"/>
      <c r="AB850" s="186"/>
      <c r="AC850" s="186"/>
      <c r="AD850" s="186"/>
      <c r="AF850" s="150"/>
      <c r="AG850" s="150"/>
      <c r="AH850" s="150"/>
      <c r="AI850" s="150"/>
      <c r="AJ850" s="150"/>
      <c r="AK850" s="150"/>
      <c r="AL850" s="150"/>
      <c r="AM850" s="150"/>
      <c r="AN850" s="150"/>
      <c r="AO850" s="150"/>
      <c r="AP850" s="150"/>
      <c r="AQ850" s="150"/>
      <c r="AT850" s="186"/>
      <c r="AU850" s="186"/>
      <c r="AV850" s="186"/>
      <c r="AW850" s="186"/>
      <c r="AX850" s="186"/>
      <c r="AY850" s="186"/>
      <c r="AZ850" s="186"/>
      <c r="BA850" s="186"/>
      <c r="BB850" s="186"/>
      <c r="BC850" s="186"/>
      <c r="BD850" s="186"/>
      <c r="BE850" s="186"/>
      <c r="BF850" s="150"/>
      <c r="BG850" s="150"/>
    </row>
    <row r="851" spans="3:59" ht="14.6">
      <c r="C851" s="289"/>
      <c r="D851" s="150"/>
      <c r="E851" s="150"/>
      <c r="F851" s="150"/>
      <c r="G851" s="150"/>
      <c r="H851" s="150"/>
      <c r="I851" s="150"/>
      <c r="J851" s="150"/>
      <c r="K851" s="150"/>
      <c r="L851" s="150"/>
      <c r="M851" s="150"/>
      <c r="N851" s="150"/>
      <c r="O851" s="150"/>
      <c r="P851" s="150"/>
      <c r="Q851" s="150"/>
      <c r="R851" s="150"/>
      <c r="S851" s="150"/>
      <c r="T851" s="186"/>
      <c r="U851" s="186"/>
      <c r="V851" s="186"/>
      <c r="W851" s="186"/>
      <c r="X851" s="186"/>
      <c r="Y851" s="186"/>
      <c r="Z851" s="186"/>
      <c r="AA851" s="186"/>
      <c r="AB851" s="186"/>
      <c r="AC851" s="186"/>
      <c r="AD851" s="186"/>
      <c r="AF851" s="150"/>
      <c r="AG851" s="150"/>
      <c r="AH851" s="150"/>
      <c r="AI851" s="150"/>
      <c r="AJ851" s="150"/>
      <c r="AK851" s="150"/>
      <c r="AL851" s="150"/>
      <c r="AM851" s="150"/>
      <c r="AN851" s="150"/>
      <c r="AO851" s="150"/>
      <c r="AP851" s="150"/>
      <c r="AQ851" s="150"/>
      <c r="AT851" s="186"/>
      <c r="AU851" s="186"/>
      <c r="AV851" s="186"/>
      <c r="AW851" s="186"/>
      <c r="AX851" s="186"/>
      <c r="AY851" s="186"/>
      <c r="AZ851" s="186"/>
      <c r="BA851" s="186"/>
      <c r="BB851" s="186"/>
      <c r="BC851" s="186"/>
      <c r="BD851" s="186"/>
      <c r="BE851" s="186"/>
      <c r="BF851" s="150"/>
      <c r="BG851" s="150"/>
    </row>
    <row r="852" spans="3:59" ht="14.6">
      <c r="C852" s="289"/>
      <c r="D852" s="150"/>
      <c r="E852" s="150"/>
      <c r="F852" s="150"/>
      <c r="G852" s="150"/>
      <c r="H852" s="150"/>
      <c r="I852" s="150"/>
      <c r="J852" s="150"/>
      <c r="K852" s="150"/>
      <c r="L852" s="150"/>
      <c r="M852" s="150"/>
      <c r="N852" s="150"/>
      <c r="O852" s="150"/>
      <c r="P852" s="150"/>
      <c r="Q852" s="150"/>
      <c r="R852" s="150"/>
      <c r="S852" s="150"/>
      <c r="T852" s="186"/>
      <c r="U852" s="186"/>
      <c r="V852" s="186"/>
      <c r="W852" s="186"/>
      <c r="X852" s="186"/>
      <c r="Y852" s="186"/>
      <c r="Z852" s="186"/>
      <c r="AA852" s="186"/>
      <c r="AB852" s="186"/>
      <c r="AC852" s="186"/>
      <c r="AD852" s="186"/>
      <c r="AF852" s="150"/>
      <c r="AG852" s="150"/>
      <c r="AH852" s="150"/>
      <c r="AI852" s="150"/>
      <c r="AJ852" s="150"/>
      <c r="AK852" s="150"/>
      <c r="AL852" s="150"/>
      <c r="AM852" s="150"/>
      <c r="AN852" s="150"/>
      <c r="AO852" s="150"/>
      <c r="AP852" s="150"/>
      <c r="AQ852" s="150"/>
      <c r="AT852" s="186"/>
      <c r="AU852" s="186"/>
      <c r="AV852" s="186"/>
      <c r="AW852" s="186"/>
      <c r="AX852" s="186"/>
      <c r="AY852" s="186"/>
      <c r="AZ852" s="186"/>
      <c r="BA852" s="186"/>
      <c r="BB852" s="186"/>
      <c r="BC852" s="186"/>
      <c r="BD852" s="186"/>
      <c r="BE852" s="186"/>
      <c r="BF852" s="150"/>
      <c r="BG852" s="150"/>
    </row>
    <row r="853" spans="3:59" ht="14.6">
      <c r="C853" s="289"/>
      <c r="D853" s="150"/>
      <c r="E853" s="150"/>
      <c r="F853" s="150"/>
      <c r="G853" s="150"/>
      <c r="H853" s="150"/>
      <c r="I853" s="150"/>
      <c r="J853" s="150"/>
      <c r="K853" s="150"/>
      <c r="L853" s="150"/>
      <c r="M853" s="150"/>
      <c r="N853" s="150"/>
      <c r="O853" s="150"/>
      <c r="P853" s="150"/>
      <c r="Q853" s="150"/>
      <c r="R853" s="150"/>
      <c r="S853" s="150"/>
      <c r="T853" s="186"/>
      <c r="U853" s="186"/>
      <c r="V853" s="186"/>
      <c r="W853" s="186"/>
      <c r="X853" s="186"/>
      <c r="Y853" s="186"/>
      <c r="Z853" s="186"/>
      <c r="AA853" s="186"/>
      <c r="AB853" s="186"/>
      <c r="AC853" s="186"/>
      <c r="AD853" s="186"/>
      <c r="AF853" s="150"/>
      <c r="AG853" s="150"/>
      <c r="AH853" s="150"/>
      <c r="AI853" s="150"/>
      <c r="AJ853" s="150"/>
      <c r="AK853" s="150"/>
      <c r="AL853" s="150"/>
      <c r="AM853" s="150"/>
      <c r="AN853" s="150"/>
      <c r="AO853" s="150"/>
      <c r="AP853" s="150"/>
      <c r="AQ853" s="150"/>
      <c r="AT853" s="186"/>
      <c r="AU853" s="186"/>
      <c r="AV853" s="186"/>
      <c r="AW853" s="186"/>
      <c r="AX853" s="186"/>
      <c r="AY853" s="186"/>
      <c r="AZ853" s="186"/>
      <c r="BA853" s="186"/>
      <c r="BB853" s="186"/>
      <c r="BC853" s="186"/>
      <c r="BD853" s="186"/>
      <c r="BE853" s="186"/>
      <c r="BF853" s="150"/>
      <c r="BG853" s="150"/>
    </row>
    <row r="854" spans="3:59" ht="14.6">
      <c r="C854" s="289"/>
      <c r="D854" s="150"/>
      <c r="E854" s="150"/>
      <c r="F854" s="150"/>
      <c r="G854" s="150"/>
      <c r="H854" s="150"/>
      <c r="I854" s="150"/>
      <c r="J854" s="150"/>
      <c r="K854" s="150"/>
      <c r="L854" s="150"/>
      <c r="M854" s="150"/>
      <c r="N854" s="150"/>
      <c r="O854" s="150"/>
      <c r="P854" s="150"/>
      <c r="Q854" s="150"/>
      <c r="R854" s="150"/>
      <c r="S854" s="150"/>
      <c r="T854" s="186"/>
      <c r="U854" s="186"/>
      <c r="V854" s="186"/>
      <c r="W854" s="186"/>
      <c r="X854" s="186"/>
      <c r="Y854" s="186"/>
      <c r="Z854" s="186"/>
      <c r="AA854" s="186"/>
      <c r="AB854" s="186"/>
      <c r="AC854" s="186"/>
      <c r="AD854" s="186"/>
      <c r="AF854" s="150"/>
      <c r="AG854" s="150"/>
      <c r="AH854" s="150"/>
      <c r="AI854" s="150"/>
      <c r="AJ854" s="150"/>
      <c r="AK854" s="150"/>
      <c r="AL854" s="150"/>
      <c r="AM854" s="150"/>
      <c r="AN854" s="150"/>
      <c r="AO854" s="150"/>
      <c r="AP854" s="150"/>
      <c r="AQ854" s="150"/>
      <c r="AT854" s="186"/>
      <c r="AU854" s="186"/>
      <c r="AV854" s="186"/>
      <c r="AW854" s="186"/>
      <c r="AX854" s="186"/>
      <c r="AY854" s="186"/>
      <c r="AZ854" s="186"/>
      <c r="BA854" s="186"/>
      <c r="BB854" s="186"/>
      <c r="BC854" s="186"/>
      <c r="BD854" s="186"/>
      <c r="BE854" s="186"/>
      <c r="BF854" s="150"/>
      <c r="BG854" s="150"/>
    </row>
    <row r="855" spans="3:59" ht="14.6">
      <c r="C855" s="289"/>
      <c r="D855" s="150"/>
      <c r="E855" s="150"/>
      <c r="F855" s="150"/>
      <c r="G855" s="150"/>
      <c r="H855" s="150"/>
      <c r="I855" s="150"/>
      <c r="J855" s="150"/>
      <c r="K855" s="150"/>
      <c r="L855" s="150"/>
      <c r="M855" s="150"/>
      <c r="N855" s="150"/>
      <c r="O855" s="150"/>
      <c r="P855" s="150"/>
      <c r="Q855" s="150"/>
      <c r="R855" s="150"/>
      <c r="S855" s="150"/>
      <c r="T855" s="186"/>
      <c r="U855" s="186"/>
      <c r="V855" s="186"/>
      <c r="W855" s="186"/>
      <c r="X855" s="186"/>
      <c r="Y855" s="186"/>
      <c r="Z855" s="186"/>
      <c r="AA855" s="186"/>
      <c r="AB855" s="186"/>
      <c r="AC855" s="186"/>
      <c r="AD855" s="186"/>
      <c r="AF855" s="150"/>
      <c r="AG855" s="150"/>
      <c r="AH855" s="150"/>
      <c r="AI855" s="150"/>
      <c r="AJ855" s="150"/>
      <c r="AK855" s="150"/>
      <c r="AL855" s="150"/>
      <c r="AM855" s="150"/>
      <c r="AN855" s="150"/>
      <c r="AO855" s="150"/>
      <c r="AP855" s="150"/>
      <c r="AQ855" s="150"/>
      <c r="AT855" s="186"/>
      <c r="AU855" s="186"/>
      <c r="AV855" s="186"/>
      <c r="AW855" s="186"/>
      <c r="AX855" s="186"/>
      <c r="AY855" s="186"/>
      <c r="AZ855" s="186"/>
      <c r="BA855" s="186"/>
      <c r="BB855" s="186"/>
      <c r="BC855" s="186"/>
      <c r="BD855" s="186"/>
      <c r="BE855" s="186"/>
      <c r="BF855" s="150"/>
      <c r="BG855" s="150"/>
    </row>
    <row r="856" spans="3:59" ht="14.6">
      <c r="C856" s="289"/>
      <c r="D856" s="150"/>
      <c r="E856" s="150"/>
      <c r="F856" s="150"/>
      <c r="G856" s="150"/>
      <c r="H856" s="150"/>
      <c r="I856" s="150"/>
      <c r="J856" s="150"/>
      <c r="K856" s="150"/>
      <c r="L856" s="150"/>
      <c r="M856" s="150"/>
      <c r="N856" s="150"/>
      <c r="O856" s="150"/>
      <c r="P856" s="150"/>
      <c r="Q856" s="150"/>
      <c r="R856" s="150"/>
      <c r="S856" s="150"/>
      <c r="T856" s="186"/>
      <c r="U856" s="186"/>
      <c r="V856" s="186"/>
      <c r="W856" s="186"/>
      <c r="X856" s="186"/>
      <c r="Y856" s="186"/>
      <c r="Z856" s="186"/>
      <c r="AA856" s="186"/>
      <c r="AB856" s="186"/>
      <c r="AC856" s="186"/>
      <c r="AD856" s="186"/>
      <c r="AF856" s="150"/>
      <c r="AG856" s="150"/>
      <c r="AH856" s="150"/>
      <c r="AI856" s="150"/>
      <c r="AJ856" s="150"/>
      <c r="AK856" s="150"/>
      <c r="AL856" s="150"/>
      <c r="AM856" s="150"/>
      <c r="AN856" s="150"/>
      <c r="AO856" s="150"/>
      <c r="AP856" s="150"/>
      <c r="AQ856" s="150"/>
      <c r="AT856" s="186"/>
      <c r="AU856" s="186"/>
      <c r="AV856" s="186"/>
      <c r="AW856" s="186"/>
      <c r="AX856" s="186"/>
      <c r="AY856" s="186"/>
      <c r="AZ856" s="186"/>
      <c r="BA856" s="186"/>
      <c r="BB856" s="186"/>
      <c r="BC856" s="186"/>
      <c r="BD856" s="186"/>
      <c r="BE856" s="186"/>
      <c r="BF856" s="150"/>
      <c r="BG856" s="150"/>
    </row>
    <row r="857" spans="3:59" ht="14.6">
      <c r="C857" s="289"/>
      <c r="D857" s="150"/>
      <c r="E857" s="150"/>
      <c r="F857" s="150"/>
      <c r="G857" s="150"/>
      <c r="H857" s="150"/>
      <c r="I857" s="150"/>
      <c r="J857" s="150"/>
      <c r="K857" s="150"/>
      <c r="L857" s="150"/>
      <c r="M857" s="150"/>
      <c r="N857" s="150"/>
      <c r="O857" s="150"/>
      <c r="P857" s="150"/>
      <c r="Q857" s="150"/>
      <c r="R857" s="150"/>
      <c r="S857" s="150"/>
      <c r="T857" s="186"/>
      <c r="U857" s="186"/>
      <c r="V857" s="186"/>
      <c r="W857" s="186"/>
      <c r="X857" s="186"/>
      <c r="Y857" s="186"/>
      <c r="Z857" s="186"/>
      <c r="AA857" s="186"/>
      <c r="AB857" s="186"/>
      <c r="AC857" s="186"/>
      <c r="AD857" s="186"/>
      <c r="AF857" s="150"/>
      <c r="AG857" s="150"/>
      <c r="AH857" s="150"/>
      <c r="AI857" s="150"/>
      <c r="AJ857" s="150"/>
      <c r="AK857" s="150"/>
      <c r="AL857" s="150"/>
      <c r="AM857" s="150"/>
      <c r="AN857" s="150"/>
      <c r="AO857" s="150"/>
      <c r="AP857" s="150"/>
      <c r="AQ857" s="150"/>
      <c r="AT857" s="186"/>
      <c r="AU857" s="186"/>
      <c r="AV857" s="186"/>
      <c r="AW857" s="186"/>
      <c r="AX857" s="186"/>
      <c r="AY857" s="186"/>
      <c r="AZ857" s="186"/>
      <c r="BA857" s="186"/>
      <c r="BB857" s="186"/>
      <c r="BC857" s="186"/>
      <c r="BD857" s="186"/>
      <c r="BE857" s="186"/>
      <c r="BF857" s="150"/>
      <c r="BG857" s="150"/>
    </row>
    <row r="858" spans="3:59" ht="14.6">
      <c r="C858" s="289"/>
      <c r="D858" s="150"/>
      <c r="E858" s="150"/>
      <c r="F858" s="150"/>
      <c r="G858" s="150"/>
      <c r="H858" s="150"/>
      <c r="I858" s="150"/>
      <c r="J858" s="150"/>
      <c r="K858" s="150"/>
      <c r="L858" s="150"/>
      <c r="M858" s="150"/>
      <c r="N858" s="150"/>
      <c r="O858" s="150"/>
      <c r="P858" s="150"/>
      <c r="Q858" s="150"/>
      <c r="R858" s="150"/>
      <c r="S858" s="150"/>
      <c r="T858" s="186"/>
      <c r="U858" s="186"/>
      <c r="V858" s="186"/>
      <c r="W858" s="186"/>
      <c r="X858" s="186"/>
      <c r="Y858" s="186"/>
      <c r="Z858" s="186"/>
      <c r="AA858" s="186"/>
      <c r="AB858" s="186"/>
      <c r="AC858" s="186"/>
      <c r="AD858" s="186"/>
      <c r="AF858" s="150"/>
      <c r="AG858" s="150"/>
      <c r="AH858" s="150"/>
      <c r="AI858" s="150"/>
      <c r="AJ858" s="150"/>
      <c r="AK858" s="150"/>
      <c r="AL858" s="150"/>
      <c r="AM858" s="150"/>
      <c r="AN858" s="150"/>
      <c r="AO858" s="150"/>
      <c r="AP858" s="150"/>
      <c r="AQ858" s="150"/>
      <c r="AT858" s="186"/>
      <c r="AU858" s="186"/>
      <c r="AV858" s="186"/>
      <c r="AW858" s="186"/>
      <c r="AX858" s="186"/>
      <c r="AY858" s="186"/>
      <c r="AZ858" s="186"/>
      <c r="BA858" s="186"/>
      <c r="BB858" s="186"/>
      <c r="BC858" s="186"/>
      <c r="BD858" s="186"/>
      <c r="BE858" s="186"/>
      <c r="BF858" s="150"/>
      <c r="BG858" s="150"/>
    </row>
    <row r="859" spans="3:59" ht="14.6">
      <c r="C859" s="289"/>
      <c r="D859" s="150"/>
      <c r="E859" s="150"/>
      <c r="F859" s="150"/>
      <c r="G859" s="150"/>
      <c r="H859" s="150"/>
      <c r="I859" s="150"/>
      <c r="J859" s="150"/>
      <c r="K859" s="150"/>
      <c r="L859" s="150"/>
      <c r="M859" s="150"/>
      <c r="N859" s="150"/>
      <c r="O859" s="150"/>
      <c r="P859" s="150"/>
      <c r="Q859" s="150"/>
      <c r="R859" s="150"/>
      <c r="S859" s="150"/>
      <c r="T859" s="186"/>
      <c r="U859" s="186"/>
      <c r="V859" s="186"/>
      <c r="W859" s="186"/>
      <c r="X859" s="186"/>
      <c r="Y859" s="186"/>
      <c r="Z859" s="186"/>
      <c r="AA859" s="186"/>
      <c r="AB859" s="186"/>
      <c r="AC859" s="186"/>
      <c r="AD859" s="186"/>
      <c r="AF859" s="150"/>
      <c r="AG859" s="150"/>
      <c r="AH859" s="150"/>
      <c r="AI859" s="150"/>
      <c r="AJ859" s="150"/>
      <c r="AK859" s="150"/>
      <c r="AL859" s="150"/>
      <c r="AM859" s="150"/>
      <c r="AN859" s="150"/>
      <c r="AO859" s="150"/>
      <c r="AP859" s="150"/>
      <c r="AQ859" s="150"/>
      <c r="AT859" s="186"/>
      <c r="AU859" s="186"/>
      <c r="AV859" s="186"/>
      <c r="AW859" s="186"/>
      <c r="AX859" s="186"/>
      <c r="AY859" s="186"/>
      <c r="AZ859" s="186"/>
      <c r="BA859" s="186"/>
      <c r="BB859" s="186"/>
      <c r="BC859" s="186"/>
      <c r="BD859" s="186"/>
      <c r="BE859" s="186"/>
      <c r="BF859" s="150"/>
      <c r="BG859" s="150"/>
    </row>
    <row r="860" spans="3:59" ht="14.6">
      <c r="C860" s="289"/>
      <c r="D860" s="150"/>
      <c r="E860" s="150"/>
      <c r="F860" s="150"/>
      <c r="G860" s="150"/>
      <c r="H860" s="150"/>
      <c r="I860" s="150"/>
      <c r="J860" s="150"/>
      <c r="K860" s="150"/>
      <c r="L860" s="150"/>
      <c r="M860" s="150"/>
      <c r="N860" s="150"/>
      <c r="O860" s="150"/>
      <c r="P860" s="150"/>
      <c r="Q860" s="150"/>
      <c r="R860" s="150"/>
      <c r="S860" s="150"/>
      <c r="T860" s="186"/>
      <c r="U860" s="186"/>
      <c r="V860" s="186"/>
      <c r="W860" s="186"/>
      <c r="X860" s="186"/>
      <c r="Y860" s="186"/>
      <c r="Z860" s="186"/>
      <c r="AA860" s="186"/>
      <c r="AB860" s="186"/>
      <c r="AC860" s="186"/>
      <c r="AD860" s="186"/>
      <c r="AF860" s="150"/>
      <c r="AG860" s="150"/>
      <c r="AH860" s="150"/>
      <c r="AI860" s="150"/>
      <c r="AJ860" s="150"/>
      <c r="AK860" s="150"/>
      <c r="AL860" s="150"/>
      <c r="AM860" s="150"/>
      <c r="AN860" s="150"/>
      <c r="AO860" s="150"/>
      <c r="AP860" s="150"/>
      <c r="AQ860" s="150"/>
      <c r="AT860" s="186"/>
      <c r="AU860" s="186"/>
      <c r="AV860" s="186"/>
      <c r="AW860" s="186"/>
      <c r="AX860" s="186"/>
      <c r="AY860" s="186"/>
      <c r="AZ860" s="186"/>
      <c r="BA860" s="186"/>
      <c r="BB860" s="186"/>
      <c r="BC860" s="186"/>
      <c r="BD860" s="186"/>
      <c r="BE860" s="186"/>
      <c r="BF860" s="150"/>
      <c r="BG860" s="150"/>
    </row>
    <row r="861" spans="3:59" ht="14.6">
      <c r="C861" s="289"/>
      <c r="D861" s="150"/>
      <c r="E861" s="150"/>
      <c r="F861" s="150"/>
      <c r="G861" s="150"/>
      <c r="H861" s="150"/>
      <c r="I861" s="150"/>
      <c r="J861" s="150"/>
      <c r="K861" s="150"/>
      <c r="L861" s="150"/>
      <c r="M861" s="150"/>
      <c r="N861" s="150"/>
      <c r="O861" s="150"/>
      <c r="P861" s="150"/>
      <c r="Q861" s="150"/>
      <c r="R861" s="150"/>
      <c r="S861" s="150"/>
      <c r="T861" s="186"/>
      <c r="U861" s="186"/>
      <c r="V861" s="186"/>
      <c r="W861" s="186"/>
      <c r="X861" s="186"/>
      <c r="Y861" s="186"/>
      <c r="Z861" s="186"/>
      <c r="AA861" s="186"/>
      <c r="AB861" s="186"/>
      <c r="AC861" s="186"/>
      <c r="AD861" s="186"/>
      <c r="AF861" s="150"/>
      <c r="AG861" s="150"/>
      <c r="AH861" s="150"/>
      <c r="AI861" s="150"/>
      <c r="AJ861" s="150"/>
      <c r="AK861" s="150"/>
      <c r="AL861" s="150"/>
      <c r="AM861" s="150"/>
      <c r="AN861" s="150"/>
      <c r="AO861" s="150"/>
      <c r="AP861" s="150"/>
      <c r="AQ861" s="150"/>
      <c r="AT861" s="186"/>
      <c r="AU861" s="186"/>
      <c r="AV861" s="186"/>
      <c r="AW861" s="186"/>
      <c r="AX861" s="186"/>
      <c r="AY861" s="186"/>
      <c r="AZ861" s="186"/>
      <c r="BA861" s="186"/>
      <c r="BB861" s="186"/>
      <c r="BC861" s="186"/>
      <c r="BD861" s="186"/>
      <c r="BE861" s="186"/>
      <c r="BF861" s="150"/>
      <c r="BG861" s="150"/>
    </row>
    <row r="862" spans="3:59" ht="14.6">
      <c r="C862" s="289"/>
      <c r="D862" s="150"/>
      <c r="E862" s="150"/>
      <c r="F862" s="150"/>
      <c r="G862" s="150"/>
      <c r="H862" s="150"/>
      <c r="I862" s="150"/>
      <c r="J862" s="150"/>
      <c r="K862" s="150"/>
      <c r="L862" s="150"/>
      <c r="M862" s="150"/>
      <c r="N862" s="150"/>
      <c r="O862" s="150"/>
      <c r="P862" s="150"/>
      <c r="Q862" s="150"/>
      <c r="R862" s="150"/>
      <c r="S862" s="150"/>
      <c r="T862" s="186"/>
      <c r="U862" s="186"/>
      <c r="V862" s="186"/>
      <c r="W862" s="186"/>
      <c r="X862" s="186"/>
      <c r="Y862" s="186"/>
      <c r="Z862" s="186"/>
      <c r="AA862" s="186"/>
      <c r="AB862" s="186"/>
      <c r="AC862" s="186"/>
      <c r="AD862" s="186"/>
      <c r="AF862" s="150"/>
      <c r="AG862" s="150"/>
      <c r="AH862" s="150"/>
      <c r="AI862" s="150"/>
      <c r="AJ862" s="150"/>
      <c r="AK862" s="150"/>
      <c r="AL862" s="150"/>
      <c r="AM862" s="150"/>
      <c r="AN862" s="150"/>
      <c r="AO862" s="150"/>
      <c r="AP862" s="150"/>
      <c r="AQ862" s="150"/>
      <c r="AT862" s="186"/>
      <c r="AU862" s="186"/>
      <c r="AV862" s="186"/>
      <c r="AW862" s="186"/>
      <c r="AX862" s="186"/>
      <c r="AY862" s="186"/>
      <c r="AZ862" s="186"/>
      <c r="BA862" s="186"/>
      <c r="BB862" s="186"/>
      <c r="BC862" s="186"/>
      <c r="BD862" s="186"/>
      <c r="BE862" s="186"/>
      <c r="BF862" s="150"/>
      <c r="BG862" s="150"/>
    </row>
    <row r="863" spans="3:59" ht="14.6">
      <c r="C863" s="289"/>
      <c r="D863" s="150"/>
      <c r="E863" s="150"/>
      <c r="F863" s="150"/>
      <c r="G863" s="150"/>
      <c r="H863" s="150"/>
      <c r="I863" s="150"/>
      <c r="J863" s="150"/>
      <c r="K863" s="150"/>
      <c r="L863" s="150"/>
      <c r="M863" s="150"/>
      <c r="N863" s="150"/>
      <c r="O863" s="150"/>
      <c r="P863" s="150"/>
      <c r="Q863" s="150"/>
      <c r="R863" s="150"/>
      <c r="S863" s="150"/>
      <c r="T863" s="186"/>
      <c r="U863" s="186"/>
      <c r="V863" s="186"/>
      <c r="W863" s="186"/>
      <c r="X863" s="186"/>
      <c r="Y863" s="186"/>
      <c r="Z863" s="186"/>
      <c r="AA863" s="186"/>
      <c r="AB863" s="186"/>
      <c r="AC863" s="186"/>
      <c r="AD863" s="186"/>
      <c r="AF863" s="150"/>
      <c r="AG863" s="150"/>
      <c r="AH863" s="150"/>
      <c r="AI863" s="150"/>
      <c r="AJ863" s="150"/>
      <c r="AK863" s="150"/>
      <c r="AL863" s="150"/>
      <c r="AM863" s="150"/>
      <c r="AN863" s="150"/>
      <c r="AO863" s="150"/>
      <c r="AP863" s="150"/>
      <c r="AQ863" s="150"/>
      <c r="AT863" s="186"/>
      <c r="AU863" s="186"/>
      <c r="AV863" s="186"/>
      <c r="AW863" s="186"/>
      <c r="AX863" s="186"/>
      <c r="AY863" s="186"/>
      <c r="AZ863" s="186"/>
      <c r="BA863" s="186"/>
      <c r="BB863" s="186"/>
      <c r="BC863" s="186"/>
      <c r="BD863" s="186"/>
      <c r="BE863" s="186"/>
      <c r="BF863" s="150"/>
      <c r="BG863" s="150"/>
    </row>
    <row r="864" spans="3:59" ht="14.6">
      <c r="C864" s="289"/>
      <c r="D864" s="150"/>
      <c r="E864" s="150"/>
      <c r="F864" s="150"/>
      <c r="G864" s="150"/>
      <c r="H864" s="150"/>
      <c r="I864" s="150"/>
      <c r="J864" s="150"/>
      <c r="K864" s="150"/>
      <c r="L864" s="150"/>
      <c r="M864" s="150"/>
      <c r="N864" s="150"/>
      <c r="O864" s="150"/>
      <c r="P864" s="150"/>
      <c r="Q864" s="150"/>
      <c r="R864" s="150"/>
      <c r="S864" s="150"/>
      <c r="T864" s="186"/>
      <c r="U864" s="186"/>
      <c r="V864" s="186"/>
      <c r="W864" s="186"/>
      <c r="X864" s="186"/>
      <c r="Y864" s="186"/>
      <c r="Z864" s="186"/>
      <c r="AA864" s="186"/>
      <c r="AB864" s="186"/>
      <c r="AC864" s="186"/>
      <c r="AD864" s="186"/>
      <c r="AF864" s="150"/>
      <c r="AG864" s="150"/>
      <c r="AH864" s="150"/>
      <c r="AI864" s="150"/>
      <c r="AJ864" s="150"/>
      <c r="AK864" s="150"/>
      <c r="AL864" s="150"/>
      <c r="AM864" s="150"/>
      <c r="AN864" s="150"/>
      <c r="AO864" s="150"/>
      <c r="AP864" s="150"/>
      <c r="AQ864" s="150"/>
      <c r="AT864" s="186"/>
      <c r="AU864" s="186"/>
      <c r="AV864" s="186"/>
      <c r="AW864" s="186"/>
      <c r="AX864" s="186"/>
      <c r="AY864" s="186"/>
      <c r="AZ864" s="186"/>
      <c r="BA864" s="186"/>
      <c r="BB864" s="186"/>
      <c r="BC864" s="186"/>
      <c r="BD864" s="186"/>
      <c r="BE864" s="186"/>
      <c r="BF864" s="150"/>
      <c r="BG864" s="150"/>
    </row>
    <row r="865" spans="3:59" ht="14.6">
      <c r="C865" s="289"/>
      <c r="D865" s="150"/>
      <c r="E865" s="150"/>
      <c r="F865" s="150"/>
      <c r="G865" s="150"/>
      <c r="H865" s="150"/>
      <c r="I865" s="150"/>
      <c r="J865" s="150"/>
      <c r="K865" s="150"/>
      <c r="L865" s="150"/>
      <c r="M865" s="150"/>
      <c r="N865" s="150"/>
      <c r="O865" s="150"/>
      <c r="P865" s="150"/>
      <c r="Q865" s="150"/>
      <c r="R865" s="150"/>
      <c r="S865" s="150"/>
      <c r="T865" s="186"/>
      <c r="U865" s="186"/>
      <c r="V865" s="186"/>
      <c r="W865" s="186"/>
      <c r="X865" s="186"/>
      <c r="Y865" s="186"/>
      <c r="Z865" s="186"/>
      <c r="AA865" s="186"/>
      <c r="AB865" s="186"/>
      <c r="AC865" s="186"/>
      <c r="AD865" s="186"/>
      <c r="AF865" s="150"/>
      <c r="AG865" s="150"/>
      <c r="AH865" s="150"/>
      <c r="AI865" s="150"/>
      <c r="AJ865" s="150"/>
      <c r="AK865" s="150"/>
      <c r="AL865" s="150"/>
      <c r="AM865" s="150"/>
      <c r="AN865" s="150"/>
      <c r="AO865" s="150"/>
      <c r="AP865" s="150"/>
      <c r="AQ865" s="150"/>
      <c r="AT865" s="186"/>
      <c r="AU865" s="186"/>
      <c r="AV865" s="186"/>
      <c r="AW865" s="186"/>
      <c r="AX865" s="186"/>
      <c r="AY865" s="186"/>
      <c r="AZ865" s="186"/>
      <c r="BA865" s="186"/>
      <c r="BB865" s="186"/>
      <c r="BC865" s="186"/>
      <c r="BD865" s="186"/>
      <c r="BE865" s="186"/>
      <c r="BF865" s="150"/>
      <c r="BG865" s="150"/>
    </row>
    <row r="866" spans="3:59" ht="14.6">
      <c r="C866" s="289"/>
      <c r="D866" s="150"/>
      <c r="E866" s="150"/>
      <c r="F866" s="150"/>
      <c r="G866" s="150"/>
      <c r="H866" s="150"/>
      <c r="I866" s="150"/>
      <c r="J866" s="150"/>
      <c r="K866" s="150"/>
      <c r="L866" s="150"/>
      <c r="M866" s="150"/>
      <c r="N866" s="150"/>
      <c r="O866" s="150"/>
      <c r="P866" s="150"/>
      <c r="Q866" s="150"/>
      <c r="R866" s="150"/>
      <c r="S866" s="150"/>
      <c r="T866" s="186"/>
      <c r="U866" s="186"/>
      <c r="V866" s="186"/>
      <c r="W866" s="186"/>
      <c r="X866" s="186"/>
      <c r="Y866" s="186"/>
      <c r="Z866" s="186"/>
      <c r="AA866" s="186"/>
      <c r="AB866" s="186"/>
      <c r="AC866" s="186"/>
      <c r="AD866" s="186"/>
      <c r="AF866" s="150"/>
      <c r="AG866" s="150"/>
      <c r="AH866" s="150"/>
      <c r="AI866" s="150"/>
      <c r="AJ866" s="150"/>
      <c r="AK866" s="150"/>
      <c r="AL866" s="150"/>
      <c r="AM866" s="150"/>
      <c r="AN866" s="150"/>
      <c r="AO866" s="150"/>
      <c r="AP866" s="150"/>
      <c r="AQ866" s="150"/>
      <c r="AT866" s="186"/>
      <c r="AU866" s="186"/>
      <c r="AV866" s="186"/>
      <c r="AW866" s="186"/>
      <c r="AX866" s="186"/>
      <c r="AY866" s="186"/>
      <c r="AZ866" s="186"/>
      <c r="BA866" s="186"/>
      <c r="BB866" s="186"/>
      <c r="BC866" s="186"/>
      <c r="BD866" s="186"/>
      <c r="BE866" s="186"/>
      <c r="BF866" s="150"/>
      <c r="BG866" s="150"/>
    </row>
    <row r="867" spans="3:59" ht="14.6">
      <c r="C867" s="289"/>
      <c r="D867" s="150"/>
      <c r="E867" s="150"/>
      <c r="F867" s="150"/>
      <c r="G867" s="150"/>
      <c r="H867" s="150"/>
      <c r="I867" s="150"/>
      <c r="J867" s="150"/>
      <c r="K867" s="150"/>
      <c r="L867" s="150"/>
      <c r="M867" s="150"/>
      <c r="N867" s="150"/>
      <c r="O867" s="150"/>
      <c r="P867" s="150"/>
      <c r="Q867" s="150"/>
      <c r="R867" s="150"/>
      <c r="S867" s="150"/>
      <c r="T867" s="186"/>
      <c r="U867" s="186"/>
      <c r="V867" s="186"/>
      <c r="W867" s="186"/>
      <c r="X867" s="186"/>
      <c r="Y867" s="186"/>
      <c r="Z867" s="186"/>
      <c r="AA867" s="186"/>
      <c r="AB867" s="186"/>
      <c r="AC867" s="186"/>
      <c r="AD867" s="186"/>
      <c r="AF867" s="150"/>
      <c r="AG867" s="150"/>
      <c r="AH867" s="150"/>
      <c r="AI867" s="150"/>
      <c r="AJ867" s="150"/>
      <c r="AK867" s="150"/>
      <c r="AL867" s="150"/>
      <c r="AM867" s="150"/>
      <c r="AN867" s="150"/>
      <c r="AO867" s="150"/>
      <c r="AP867" s="150"/>
      <c r="AQ867" s="150"/>
      <c r="AT867" s="186"/>
      <c r="AU867" s="186"/>
      <c r="AV867" s="186"/>
      <c r="AW867" s="186"/>
      <c r="AX867" s="186"/>
      <c r="AY867" s="186"/>
      <c r="AZ867" s="186"/>
      <c r="BA867" s="186"/>
      <c r="BB867" s="186"/>
      <c r="BC867" s="186"/>
      <c r="BD867" s="186"/>
      <c r="BE867" s="186"/>
      <c r="BF867" s="150"/>
      <c r="BG867" s="150"/>
    </row>
    <row r="868" spans="3:59" ht="14.6">
      <c r="C868" s="289"/>
      <c r="D868" s="150"/>
      <c r="E868" s="150"/>
      <c r="F868" s="150"/>
      <c r="G868" s="150"/>
      <c r="H868" s="150"/>
      <c r="I868" s="150"/>
      <c r="J868" s="150"/>
      <c r="K868" s="150"/>
      <c r="L868" s="150"/>
      <c r="M868" s="150"/>
      <c r="N868" s="150"/>
      <c r="O868" s="150"/>
      <c r="P868" s="150"/>
      <c r="Q868" s="150"/>
      <c r="R868" s="150"/>
      <c r="S868" s="150"/>
      <c r="T868" s="186"/>
      <c r="U868" s="186"/>
      <c r="V868" s="186"/>
      <c r="W868" s="186"/>
      <c r="X868" s="186"/>
      <c r="Y868" s="186"/>
      <c r="Z868" s="186"/>
      <c r="AA868" s="186"/>
      <c r="AB868" s="186"/>
      <c r="AC868" s="186"/>
      <c r="AD868" s="186"/>
      <c r="AF868" s="150"/>
      <c r="AG868" s="150"/>
      <c r="AH868" s="150"/>
      <c r="AI868" s="150"/>
      <c r="AJ868" s="150"/>
      <c r="AK868" s="150"/>
      <c r="AL868" s="150"/>
      <c r="AM868" s="150"/>
      <c r="AN868" s="150"/>
      <c r="AO868" s="150"/>
      <c r="AP868" s="150"/>
      <c r="AQ868" s="150"/>
      <c r="AT868" s="186"/>
      <c r="AU868" s="186"/>
      <c r="AV868" s="186"/>
      <c r="AW868" s="186"/>
      <c r="AX868" s="186"/>
      <c r="AY868" s="186"/>
      <c r="AZ868" s="186"/>
      <c r="BA868" s="186"/>
      <c r="BB868" s="186"/>
      <c r="BC868" s="186"/>
      <c r="BD868" s="186"/>
      <c r="BE868" s="186"/>
      <c r="BF868" s="150"/>
      <c r="BG868" s="150"/>
    </row>
    <row r="869" spans="3:59" ht="14.6">
      <c r="C869" s="289"/>
      <c r="D869" s="150"/>
      <c r="E869" s="150"/>
      <c r="F869" s="150"/>
      <c r="G869" s="150"/>
      <c r="H869" s="150"/>
      <c r="I869" s="150"/>
      <c r="J869" s="150"/>
      <c r="K869" s="150"/>
      <c r="L869" s="150"/>
      <c r="M869" s="150"/>
      <c r="N869" s="150"/>
      <c r="O869" s="150"/>
      <c r="P869" s="150"/>
      <c r="Q869" s="150"/>
      <c r="R869" s="150"/>
      <c r="S869" s="150"/>
      <c r="T869" s="186"/>
      <c r="U869" s="186"/>
      <c r="V869" s="186"/>
      <c r="W869" s="186"/>
      <c r="X869" s="186"/>
      <c r="Y869" s="186"/>
      <c r="Z869" s="186"/>
      <c r="AA869" s="186"/>
      <c r="AB869" s="186"/>
      <c r="AC869" s="186"/>
      <c r="AD869" s="186"/>
      <c r="AF869" s="150"/>
      <c r="AG869" s="150"/>
      <c r="AH869" s="150"/>
      <c r="AI869" s="150"/>
      <c r="AJ869" s="150"/>
      <c r="AK869" s="150"/>
      <c r="AL869" s="150"/>
      <c r="AM869" s="150"/>
      <c r="AN869" s="150"/>
      <c r="AO869" s="150"/>
      <c r="AP869" s="150"/>
      <c r="AQ869" s="150"/>
      <c r="AT869" s="186"/>
      <c r="AU869" s="186"/>
      <c r="AV869" s="186"/>
      <c r="AW869" s="186"/>
      <c r="AX869" s="186"/>
      <c r="AY869" s="186"/>
      <c r="AZ869" s="186"/>
      <c r="BA869" s="186"/>
      <c r="BB869" s="186"/>
      <c r="BC869" s="186"/>
      <c r="BD869" s="186"/>
      <c r="BE869" s="186"/>
      <c r="BF869" s="150"/>
      <c r="BG869" s="150"/>
    </row>
    <row r="870" spans="3:59" ht="14.6">
      <c r="C870" s="289"/>
      <c r="D870" s="150"/>
      <c r="E870" s="150"/>
      <c r="F870" s="150"/>
      <c r="G870" s="150"/>
      <c r="H870" s="150"/>
      <c r="I870" s="150"/>
      <c r="J870" s="150"/>
      <c r="K870" s="150"/>
      <c r="L870" s="150"/>
      <c r="M870" s="150"/>
      <c r="N870" s="150"/>
      <c r="O870" s="150"/>
      <c r="P870" s="150"/>
      <c r="Q870" s="150"/>
      <c r="R870" s="150"/>
      <c r="S870" s="150"/>
      <c r="T870" s="186"/>
      <c r="U870" s="186"/>
      <c r="V870" s="186"/>
      <c r="W870" s="186"/>
      <c r="X870" s="186"/>
      <c r="Y870" s="186"/>
      <c r="Z870" s="186"/>
      <c r="AA870" s="186"/>
      <c r="AB870" s="186"/>
      <c r="AC870" s="186"/>
      <c r="AD870" s="186"/>
      <c r="AF870" s="150"/>
      <c r="AG870" s="150"/>
      <c r="AH870" s="150"/>
      <c r="AI870" s="150"/>
      <c r="AJ870" s="150"/>
      <c r="AK870" s="150"/>
      <c r="AL870" s="150"/>
      <c r="AM870" s="150"/>
      <c r="AN870" s="150"/>
      <c r="AO870" s="150"/>
      <c r="AP870" s="150"/>
      <c r="AQ870" s="150"/>
      <c r="AT870" s="186"/>
      <c r="AU870" s="186"/>
      <c r="AV870" s="186"/>
      <c r="AW870" s="186"/>
      <c r="AX870" s="186"/>
      <c r="AY870" s="186"/>
      <c r="AZ870" s="186"/>
      <c r="BA870" s="186"/>
      <c r="BB870" s="186"/>
      <c r="BC870" s="186"/>
      <c r="BD870" s="186"/>
      <c r="BE870" s="186"/>
      <c r="BF870" s="150"/>
      <c r="BG870" s="150"/>
    </row>
    <row r="871" spans="3:59" ht="14.6">
      <c r="C871" s="289"/>
      <c r="D871" s="150"/>
      <c r="E871" s="150"/>
      <c r="F871" s="150"/>
      <c r="G871" s="150"/>
      <c r="H871" s="150"/>
      <c r="I871" s="150"/>
      <c r="J871" s="150"/>
      <c r="K871" s="150"/>
      <c r="L871" s="150"/>
      <c r="M871" s="150"/>
      <c r="N871" s="150"/>
      <c r="O871" s="150"/>
      <c r="P871" s="150"/>
      <c r="Q871" s="150"/>
      <c r="R871" s="150"/>
      <c r="S871" s="150"/>
      <c r="T871" s="186"/>
      <c r="U871" s="186"/>
      <c r="V871" s="186"/>
      <c r="W871" s="186"/>
      <c r="X871" s="186"/>
      <c r="Y871" s="186"/>
      <c r="Z871" s="186"/>
      <c r="AA871" s="186"/>
      <c r="AB871" s="186"/>
      <c r="AC871" s="186"/>
      <c r="AD871" s="186"/>
      <c r="AF871" s="150"/>
      <c r="AG871" s="150"/>
      <c r="AH871" s="150"/>
      <c r="AI871" s="150"/>
      <c r="AJ871" s="150"/>
      <c r="AK871" s="150"/>
      <c r="AL871" s="150"/>
      <c r="AM871" s="150"/>
      <c r="AN871" s="150"/>
      <c r="AO871" s="150"/>
      <c r="AP871" s="150"/>
      <c r="AQ871" s="150"/>
      <c r="AT871" s="186"/>
      <c r="AU871" s="186"/>
      <c r="AV871" s="186"/>
      <c r="AW871" s="186"/>
      <c r="AX871" s="186"/>
      <c r="AY871" s="186"/>
      <c r="AZ871" s="186"/>
      <c r="BA871" s="186"/>
      <c r="BB871" s="186"/>
      <c r="BC871" s="186"/>
      <c r="BD871" s="186"/>
      <c r="BE871" s="186"/>
      <c r="BF871" s="150"/>
      <c r="BG871" s="150"/>
    </row>
    <row r="872" spans="3:59" ht="14.6">
      <c r="C872" s="289"/>
      <c r="D872" s="150"/>
      <c r="E872" s="150"/>
      <c r="F872" s="150"/>
      <c r="G872" s="150"/>
      <c r="H872" s="150"/>
      <c r="I872" s="150"/>
      <c r="J872" s="150"/>
      <c r="K872" s="150"/>
      <c r="L872" s="150"/>
      <c r="M872" s="150"/>
      <c r="N872" s="150"/>
      <c r="O872" s="150"/>
      <c r="P872" s="150"/>
      <c r="Q872" s="150"/>
      <c r="R872" s="150"/>
      <c r="S872" s="150"/>
      <c r="T872" s="186"/>
      <c r="U872" s="186"/>
      <c r="V872" s="186"/>
      <c r="W872" s="186"/>
      <c r="X872" s="186"/>
      <c r="Y872" s="186"/>
      <c r="Z872" s="186"/>
      <c r="AA872" s="186"/>
      <c r="AB872" s="186"/>
      <c r="AC872" s="186"/>
      <c r="AD872" s="186"/>
      <c r="AF872" s="150"/>
      <c r="AG872" s="150"/>
      <c r="AH872" s="150"/>
      <c r="AI872" s="150"/>
      <c r="AJ872" s="150"/>
      <c r="AK872" s="150"/>
      <c r="AL872" s="150"/>
      <c r="AM872" s="150"/>
      <c r="AN872" s="150"/>
      <c r="AO872" s="150"/>
      <c r="AP872" s="150"/>
      <c r="AQ872" s="150"/>
      <c r="AT872" s="186"/>
      <c r="AU872" s="186"/>
      <c r="AV872" s="186"/>
      <c r="AW872" s="186"/>
      <c r="AX872" s="186"/>
      <c r="AY872" s="186"/>
      <c r="AZ872" s="186"/>
      <c r="BA872" s="186"/>
      <c r="BB872" s="186"/>
      <c r="BC872" s="186"/>
      <c r="BD872" s="186"/>
      <c r="BE872" s="186"/>
      <c r="BF872" s="150"/>
      <c r="BG872" s="150"/>
    </row>
    <row r="873" spans="3:59" ht="14.6">
      <c r="C873" s="289"/>
      <c r="D873" s="150"/>
      <c r="E873" s="150"/>
      <c r="F873" s="150"/>
      <c r="G873" s="150"/>
      <c r="H873" s="150"/>
      <c r="I873" s="150"/>
      <c r="J873" s="150"/>
      <c r="K873" s="150"/>
      <c r="L873" s="150"/>
      <c r="M873" s="150"/>
      <c r="N873" s="150"/>
      <c r="O873" s="150"/>
      <c r="P873" s="150"/>
      <c r="Q873" s="150"/>
      <c r="R873" s="150"/>
      <c r="S873" s="150"/>
      <c r="T873" s="186"/>
      <c r="U873" s="186"/>
      <c r="V873" s="186"/>
      <c r="W873" s="186"/>
      <c r="X873" s="186"/>
      <c r="Y873" s="186"/>
      <c r="Z873" s="186"/>
      <c r="AA873" s="186"/>
      <c r="AB873" s="186"/>
      <c r="AC873" s="186"/>
      <c r="AD873" s="186"/>
      <c r="AF873" s="150"/>
      <c r="AG873" s="150"/>
      <c r="AH873" s="150"/>
      <c r="AI873" s="150"/>
      <c r="AJ873" s="150"/>
      <c r="AK873" s="150"/>
      <c r="AL873" s="150"/>
      <c r="AM873" s="150"/>
      <c r="AN873" s="150"/>
      <c r="AO873" s="150"/>
      <c r="AP873" s="150"/>
      <c r="AQ873" s="150"/>
      <c r="AT873" s="186"/>
      <c r="AU873" s="186"/>
      <c r="AV873" s="186"/>
      <c r="AW873" s="186"/>
      <c r="AX873" s="186"/>
      <c r="AY873" s="186"/>
      <c r="AZ873" s="186"/>
      <c r="BA873" s="186"/>
      <c r="BB873" s="186"/>
      <c r="BC873" s="186"/>
      <c r="BD873" s="186"/>
      <c r="BE873" s="186"/>
      <c r="BF873" s="150"/>
      <c r="BG873" s="150"/>
    </row>
    <row r="874" spans="3:59" ht="14.6">
      <c r="C874" s="289"/>
      <c r="D874" s="150"/>
      <c r="E874" s="150"/>
      <c r="F874" s="150"/>
      <c r="G874" s="150"/>
      <c r="H874" s="150"/>
      <c r="I874" s="150"/>
      <c r="J874" s="150"/>
      <c r="K874" s="150"/>
      <c r="L874" s="150"/>
      <c r="M874" s="150"/>
      <c r="N874" s="150"/>
      <c r="O874" s="150"/>
      <c r="P874" s="150"/>
      <c r="Q874" s="150"/>
      <c r="R874" s="150"/>
      <c r="S874" s="150"/>
      <c r="T874" s="186"/>
      <c r="U874" s="186"/>
      <c r="V874" s="186"/>
      <c r="W874" s="186"/>
      <c r="X874" s="186"/>
      <c r="Y874" s="186"/>
      <c r="Z874" s="186"/>
      <c r="AA874" s="186"/>
      <c r="AB874" s="186"/>
      <c r="AC874" s="186"/>
      <c r="AD874" s="186"/>
      <c r="AF874" s="150"/>
      <c r="AG874" s="150"/>
      <c r="AH874" s="150"/>
      <c r="AI874" s="150"/>
      <c r="AJ874" s="150"/>
      <c r="AK874" s="150"/>
      <c r="AL874" s="150"/>
      <c r="AM874" s="150"/>
      <c r="AN874" s="150"/>
      <c r="AO874" s="150"/>
      <c r="AP874" s="150"/>
      <c r="AQ874" s="150"/>
      <c r="AT874" s="186"/>
      <c r="AU874" s="186"/>
      <c r="AV874" s="186"/>
      <c r="AW874" s="186"/>
      <c r="AX874" s="186"/>
      <c r="AY874" s="186"/>
      <c r="AZ874" s="186"/>
      <c r="BA874" s="186"/>
      <c r="BB874" s="186"/>
      <c r="BC874" s="186"/>
      <c r="BD874" s="186"/>
      <c r="BE874" s="186"/>
      <c r="BF874" s="150"/>
      <c r="BG874" s="150"/>
    </row>
    <row r="875" spans="3:59" ht="14.6">
      <c r="C875" s="289"/>
      <c r="D875" s="150"/>
      <c r="E875" s="150"/>
      <c r="F875" s="150"/>
      <c r="G875" s="150"/>
      <c r="H875" s="150"/>
      <c r="I875" s="150"/>
      <c r="J875" s="150"/>
      <c r="K875" s="150"/>
      <c r="L875" s="150"/>
      <c r="M875" s="150"/>
      <c r="N875" s="150"/>
      <c r="O875" s="150"/>
      <c r="P875" s="150"/>
      <c r="Q875" s="150"/>
      <c r="R875" s="150"/>
      <c r="S875" s="150"/>
      <c r="T875" s="186"/>
      <c r="U875" s="186"/>
      <c r="V875" s="186"/>
      <c r="W875" s="186"/>
      <c r="X875" s="186"/>
      <c r="Y875" s="186"/>
      <c r="Z875" s="186"/>
      <c r="AA875" s="186"/>
      <c r="AB875" s="186"/>
      <c r="AC875" s="186"/>
      <c r="AD875" s="186"/>
      <c r="AF875" s="150"/>
      <c r="AG875" s="150"/>
      <c r="AH875" s="150"/>
      <c r="AI875" s="150"/>
      <c r="AJ875" s="150"/>
      <c r="AK875" s="150"/>
      <c r="AL875" s="150"/>
      <c r="AM875" s="150"/>
      <c r="AN875" s="150"/>
      <c r="AO875" s="150"/>
      <c r="AP875" s="150"/>
      <c r="AQ875" s="150"/>
      <c r="AT875" s="186"/>
      <c r="AU875" s="186"/>
      <c r="AV875" s="186"/>
      <c r="AW875" s="186"/>
      <c r="AX875" s="186"/>
      <c r="AY875" s="186"/>
      <c r="AZ875" s="186"/>
      <c r="BA875" s="186"/>
      <c r="BB875" s="186"/>
      <c r="BC875" s="186"/>
      <c r="BD875" s="186"/>
      <c r="BE875" s="186"/>
      <c r="BF875" s="150"/>
      <c r="BG875" s="150"/>
    </row>
    <row r="876" spans="3:59" ht="14.6">
      <c r="C876" s="289"/>
      <c r="D876" s="150"/>
      <c r="E876" s="150"/>
      <c r="F876" s="150"/>
      <c r="G876" s="150"/>
      <c r="H876" s="150"/>
      <c r="I876" s="150"/>
      <c r="J876" s="150"/>
      <c r="K876" s="150"/>
      <c r="L876" s="150"/>
      <c r="M876" s="150"/>
      <c r="N876" s="150"/>
      <c r="O876" s="150"/>
      <c r="P876" s="150"/>
      <c r="Q876" s="150"/>
      <c r="R876" s="150"/>
      <c r="S876" s="150"/>
      <c r="T876" s="186"/>
      <c r="U876" s="186"/>
      <c r="V876" s="186"/>
      <c r="W876" s="186"/>
      <c r="X876" s="186"/>
      <c r="Y876" s="186"/>
      <c r="Z876" s="186"/>
      <c r="AA876" s="186"/>
      <c r="AB876" s="186"/>
      <c r="AC876" s="186"/>
      <c r="AD876" s="186"/>
      <c r="AF876" s="150"/>
      <c r="AG876" s="150"/>
      <c r="AH876" s="150"/>
      <c r="AI876" s="150"/>
      <c r="AJ876" s="150"/>
      <c r="AK876" s="150"/>
      <c r="AL876" s="150"/>
      <c r="AM876" s="150"/>
      <c r="AN876" s="150"/>
      <c r="AO876" s="150"/>
      <c r="AP876" s="150"/>
      <c r="AQ876" s="150"/>
      <c r="AT876" s="186"/>
      <c r="AU876" s="186"/>
      <c r="AV876" s="186"/>
      <c r="AW876" s="186"/>
      <c r="AX876" s="186"/>
      <c r="AY876" s="186"/>
      <c r="AZ876" s="186"/>
      <c r="BA876" s="186"/>
      <c r="BB876" s="186"/>
      <c r="BC876" s="186"/>
      <c r="BD876" s="186"/>
      <c r="BE876" s="186"/>
      <c r="BF876" s="150"/>
      <c r="BG876" s="150"/>
    </row>
    <row r="877" spans="3:59" ht="14.6">
      <c r="C877" s="289"/>
      <c r="D877" s="150"/>
      <c r="E877" s="150"/>
      <c r="F877" s="150"/>
      <c r="G877" s="150"/>
      <c r="H877" s="150"/>
      <c r="I877" s="150"/>
      <c r="J877" s="150"/>
      <c r="K877" s="150"/>
      <c r="L877" s="150"/>
      <c r="M877" s="150"/>
      <c r="N877" s="150"/>
      <c r="O877" s="150"/>
      <c r="P877" s="150"/>
      <c r="Q877" s="150"/>
      <c r="R877" s="150"/>
      <c r="S877" s="150"/>
      <c r="T877" s="186"/>
      <c r="U877" s="186"/>
      <c r="V877" s="186"/>
      <c r="W877" s="186"/>
      <c r="X877" s="186"/>
      <c r="Y877" s="186"/>
      <c r="Z877" s="186"/>
      <c r="AA877" s="186"/>
      <c r="AB877" s="186"/>
      <c r="AC877" s="186"/>
      <c r="AD877" s="186"/>
      <c r="AF877" s="150"/>
      <c r="AG877" s="150"/>
      <c r="AH877" s="150"/>
      <c r="AI877" s="150"/>
      <c r="AJ877" s="150"/>
      <c r="AK877" s="150"/>
      <c r="AL877" s="150"/>
      <c r="AM877" s="150"/>
      <c r="AN877" s="150"/>
      <c r="AO877" s="150"/>
      <c r="AP877" s="150"/>
      <c r="AQ877" s="150"/>
      <c r="AT877" s="186"/>
      <c r="AU877" s="186"/>
      <c r="AV877" s="186"/>
      <c r="AW877" s="186"/>
      <c r="AX877" s="186"/>
      <c r="AY877" s="186"/>
      <c r="AZ877" s="186"/>
      <c r="BA877" s="186"/>
      <c r="BB877" s="186"/>
      <c r="BC877" s="186"/>
      <c r="BD877" s="186"/>
      <c r="BE877" s="186"/>
      <c r="BF877" s="150"/>
      <c r="BG877" s="150"/>
    </row>
    <row r="878" spans="3:59" ht="14.6">
      <c r="C878" s="289"/>
      <c r="D878" s="150"/>
      <c r="E878" s="150"/>
      <c r="F878" s="150"/>
      <c r="G878" s="150"/>
      <c r="H878" s="150"/>
      <c r="I878" s="150"/>
      <c r="J878" s="150"/>
      <c r="K878" s="150"/>
      <c r="L878" s="150"/>
      <c r="M878" s="150"/>
      <c r="N878" s="150"/>
      <c r="O878" s="150"/>
      <c r="P878" s="150"/>
      <c r="Q878" s="150"/>
      <c r="R878" s="150"/>
      <c r="S878" s="150"/>
      <c r="T878" s="186"/>
      <c r="U878" s="186"/>
      <c r="V878" s="186"/>
      <c r="W878" s="186"/>
      <c r="X878" s="186"/>
      <c r="Y878" s="186"/>
      <c r="Z878" s="186"/>
      <c r="AA878" s="186"/>
      <c r="AB878" s="186"/>
      <c r="AC878" s="186"/>
      <c r="AD878" s="186"/>
      <c r="AF878" s="150"/>
      <c r="AG878" s="150"/>
      <c r="AH878" s="150"/>
      <c r="AI878" s="150"/>
      <c r="AJ878" s="150"/>
      <c r="AK878" s="150"/>
      <c r="AL878" s="150"/>
      <c r="AM878" s="150"/>
      <c r="AN878" s="150"/>
      <c r="AO878" s="150"/>
      <c r="AP878" s="150"/>
      <c r="AQ878" s="150"/>
      <c r="AT878" s="186"/>
      <c r="AU878" s="186"/>
      <c r="AV878" s="186"/>
      <c r="AW878" s="186"/>
      <c r="AX878" s="186"/>
      <c r="AY878" s="186"/>
      <c r="AZ878" s="186"/>
      <c r="BA878" s="186"/>
      <c r="BB878" s="186"/>
      <c r="BC878" s="186"/>
      <c r="BD878" s="186"/>
      <c r="BE878" s="186"/>
      <c r="BF878" s="150"/>
      <c r="BG878" s="150"/>
    </row>
    <row r="879" spans="3:59" ht="14.6">
      <c r="C879" s="289"/>
      <c r="D879" s="150"/>
      <c r="E879" s="150"/>
      <c r="F879" s="150"/>
      <c r="G879" s="150"/>
      <c r="H879" s="150"/>
      <c r="I879" s="150"/>
      <c r="J879" s="150"/>
      <c r="K879" s="150"/>
      <c r="L879" s="150"/>
      <c r="M879" s="150"/>
      <c r="N879" s="150"/>
      <c r="O879" s="150"/>
      <c r="P879" s="150"/>
      <c r="Q879" s="150"/>
      <c r="R879" s="150"/>
      <c r="S879" s="150"/>
      <c r="T879" s="186"/>
      <c r="U879" s="186"/>
      <c r="V879" s="186"/>
      <c r="W879" s="186"/>
      <c r="X879" s="186"/>
      <c r="Y879" s="186"/>
      <c r="Z879" s="186"/>
      <c r="AA879" s="186"/>
      <c r="AB879" s="186"/>
      <c r="AC879" s="186"/>
      <c r="AD879" s="186"/>
      <c r="AF879" s="150"/>
      <c r="AG879" s="150"/>
      <c r="AH879" s="150"/>
      <c r="AI879" s="150"/>
      <c r="AJ879" s="150"/>
      <c r="AK879" s="150"/>
      <c r="AL879" s="150"/>
      <c r="AM879" s="150"/>
      <c r="AN879" s="150"/>
      <c r="AO879" s="150"/>
      <c r="AP879" s="150"/>
      <c r="AQ879" s="150"/>
      <c r="AT879" s="186"/>
      <c r="AU879" s="186"/>
      <c r="AV879" s="186"/>
      <c r="AW879" s="186"/>
      <c r="AX879" s="186"/>
      <c r="AY879" s="186"/>
      <c r="AZ879" s="186"/>
      <c r="BA879" s="186"/>
      <c r="BB879" s="186"/>
      <c r="BC879" s="186"/>
      <c r="BD879" s="186"/>
      <c r="BE879" s="186"/>
      <c r="BF879" s="150"/>
      <c r="BG879" s="150"/>
    </row>
    <row r="880" spans="3:59" ht="14.6">
      <c r="C880" s="289"/>
      <c r="D880" s="150"/>
      <c r="E880" s="150"/>
      <c r="F880" s="150"/>
      <c r="G880" s="150"/>
      <c r="H880" s="150"/>
      <c r="I880" s="150"/>
      <c r="J880" s="150"/>
      <c r="K880" s="150"/>
      <c r="L880" s="150"/>
      <c r="M880" s="150"/>
      <c r="N880" s="150"/>
      <c r="O880" s="150"/>
      <c r="P880" s="150"/>
      <c r="Q880" s="150"/>
      <c r="R880" s="150"/>
      <c r="S880" s="150"/>
      <c r="T880" s="186"/>
      <c r="U880" s="186"/>
      <c r="V880" s="186"/>
      <c r="W880" s="186"/>
      <c r="X880" s="186"/>
      <c r="Y880" s="186"/>
      <c r="Z880" s="186"/>
      <c r="AA880" s="186"/>
      <c r="AB880" s="186"/>
      <c r="AC880" s="186"/>
      <c r="AD880" s="186"/>
      <c r="AF880" s="150"/>
      <c r="AG880" s="150"/>
      <c r="AH880" s="150"/>
      <c r="AI880" s="150"/>
      <c r="AJ880" s="150"/>
      <c r="AK880" s="150"/>
      <c r="AL880" s="150"/>
      <c r="AM880" s="150"/>
      <c r="AN880" s="150"/>
      <c r="AO880" s="150"/>
      <c r="AP880" s="150"/>
      <c r="AQ880" s="150"/>
      <c r="AT880" s="186"/>
      <c r="AU880" s="186"/>
      <c r="AV880" s="186"/>
      <c r="AW880" s="186"/>
      <c r="AX880" s="186"/>
      <c r="AY880" s="186"/>
      <c r="AZ880" s="186"/>
      <c r="BA880" s="186"/>
      <c r="BB880" s="186"/>
      <c r="BC880" s="186"/>
      <c r="BD880" s="186"/>
      <c r="BE880" s="186"/>
      <c r="BF880" s="150"/>
      <c r="BG880" s="150"/>
    </row>
    <row r="881" spans="3:59" ht="14.6">
      <c r="C881" s="289"/>
      <c r="D881" s="150"/>
      <c r="E881" s="150"/>
      <c r="F881" s="150"/>
      <c r="G881" s="150"/>
      <c r="H881" s="150"/>
      <c r="I881" s="150"/>
      <c r="J881" s="150"/>
      <c r="K881" s="150"/>
      <c r="L881" s="150"/>
      <c r="M881" s="150"/>
      <c r="N881" s="150"/>
      <c r="O881" s="150"/>
      <c r="P881" s="150"/>
      <c r="Q881" s="150"/>
      <c r="R881" s="150"/>
      <c r="S881" s="150"/>
      <c r="T881" s="186"/>
      <c r="U881" s="186"/>
      <c r="V881" s="186"/>
      <c r="W881" s="186"/>
      <c r="X881" s="186"/>
      <c r="Y881" s="186"/>
      <c r="Z881" s="186"/>
      <c r="AA881" s="186"/>
      <c r="AB881" s="186"/>
      <c r="AC881" s="186"/>
      <c r="AD881" s="186"/>
      <c r="AF881" s="150"/>
      <c r="AG881" s="150"/>
      <c r="AH881" s="150"/>
      <c r="AI881" s="150"/>
      <c r="AJ881" s="150"/>
      <c r="AK881" s="150"/>
      <c r="AL881" s="150"/>
      <c r="AM881" s="150"/>
      <c r="AN881" s="150"/>
      <c r="AO881" s="150"/>
      <c r="AP881" s="150"/>
      <c r="AQ881" s="150"/>
      <c r="AT881" s="186"/>
      <c r="AU881" s="186"/>
      <c r="AV881" s="186"/>
      <c r="AW881" s="186"/>
      <c r="AX881" s="186"/>
      <c r="AY881" s="186"/>
      <c r="AZ881" s="186"/>
      <c r="BA881" s="186"/>
      <c r="BB881" s="186"/>
      <c r="BC881" s="186"/>
      <c r="BD881" s="186"/>
      <c r="BE881" s="186"/>
      <c r="BF881" s="150"/>
      <c r="BG881" s="150"/>
    </row>
    <row r="882" spans="3:59" ht="14.6">
      <c r="C882" s="289"/>
      <c r="D882" s="150"/>
      <c r="E882" s="150"/>
      <c r="F882" s="150"/>
      <c r="G882" s="150"/>
      <c r="H882" s="150"/>
      <c r="I882" s="150"/>
      <c r="J882" s="150"/>
      <c r="K882" s="150"/>
      <c r="L882" s="150"/>
      <c r="M882" s="150"/>
      <c r="N882" s="150"/>
      <c r="O882" s="150"/>
      <c r="P882" s="150"/>
      <c r="Q882" s="150"/>
      <c r="R882" s="150"/>
      <c r="S882" s="150"/>
      <c r="T882" s="186"/>
      <c r="U882" s="186"/>
      <c r="V882" s="186"/>
      <c r="W882" s="186"/>
      <c r="X882" s="186"/>
      <c r="Y882" s="186"/>
      <c r="Z882" s="186"/>
      <c r="AA882" s="186"/>
      <c r="AB882" s="186"/>
      <c r="AC882" s="186"/>
      <c r="AD882" s="186"/>
      <c r="AF882" s="150"/>
      <c r="AG882" s="150"/>
      <c r="AH882" s="150"/>
      <c r="AI882" s="150"/>
      <c r="AJ882" s="150"/>
      <c r="AK882" s="150"/>
      <c r="AL882" s="150"/>
      <c r="AM882" s="150"/>
      <c r="AN882" s="150"/>
      <c r="AO882" s="150"/>
      <c r="AP882" s="150"/>
      <c r="AQ882" s="150"/>
      <c r="AT882" s="186"/>
      <c r="AU882" s="186"/>
      <c r="AV882" s="186"/>
      <c r="AW882" s="186"/>
      <c r="AX882" s="186"/>
      <c r="AY882" s="186"/>
      <c r="AZ882" s="186"/>
      <c r="BA882" s="186"/>
      <c r="BB882" s="186"/>
      <c r="BC882" s="186"/>
      <c r="BD882" s="186"/>
      <c r="BE882" s="186"/>
      <c r="BF882" s="150"/>
      <c r="BG882" s="150"/>
    </row>
    <row r="883" spans="3:59" ht="14.6">
      <c r="C883" s="289"/>
      <c r="D883" s="150"/>
      <c r="E883" s="150"/>
      <c r="F883" s="150"/>
      <c r="G883" s="150"/>
      <c r="H883" s="150"/>
      <c r="I883" s="150"/>
      <c r="J883" s="150"/>
      <c r="K883" s="150"/>
      <c r="L883" s="150"/>
      <c r="M883" s="150"/>
      <c r="N883" s="150"/>
      <c r="O883" s="150"/>
      <c r="P883" s="150"/>
      <c r="Q883" s="150"/>
      <c r="R883" s="150"/>
      <c r="S883" s="150"/>
      <c r="T883" s="186"/>
      <c r="U883" s="186"/>
      <c r="V883" s="186"/>
      <c r="W883" s="186"/>
      <c r="X883" s="186"/>
      <c r="Y883" s="186"/>
      <c r="Z883" s="186"/>
      <c r="AA883" s="186"/>
      <c r="AB883" s="186"/>
      <c r="AC883" s="186"/>
      <c r="AD883" s="186"/>
      <c r="AF883" s="150"/>
      <c r="AG883" s="150"/>
      <c r="AH883" s="150"/>
      <c r="AI883" s="150"/>
      <c r="AJ883" s="150"/>
      <c r="AK883" s="150"/>
      <c r="AL883" s="150"/>
      <c r="AM883" s="150"/>
      <c r="AN883" s="150"/>
      <c r="AO883" s="150"/>
      <c r="AP883" s="150"/>
      <c r="AQ883" s="150"/>
      <c r="AT883" s="186"/>
      <c r="AU883" s="186"/>
      <c r="AV883" s="186"/>
      <c r="AW883" s="186"/>
      <c r="AX883" s="186"/>
      <c r="AY883" s="186"/>
      <c r="AZ883" s="186"/>
      <c r="BA883" s="186"/>
      <c r="BB883" s="186"/>
      <c r="BC883" s="186"/>
      <c r="BD883" s="186"/>
      <c r="BE883" s="186"/>
      <c r="BF883" s="150"/>
      <c r="BG883" s="150"/>
    </row>
    <row r="884" spans="3:59" ht="14.6">
      <c r="C884" s="289"/>
      <c r="D884" s="150"/>
      <c r="E884" s="150"/>
      <c r="F884" s="150"/>
      <c r="G884" s="150"/>
      <c r="H884" s="150"/>
      <c r="I884" s="150"/>
      <c r="J884" s="150"/>
      <c r="K884" s="150"/>
      <c r="L884" s="150"/>
      <c r="M884" s="150"/>
      <c r="N884" s="150"/>
      <c r="O884" s="150"/>
      <c r="P884" s="150"/>
      <c r="Q884" s="150"/>
      <c r="R884" s="150"/>
      <c r="S884" s="150"/>
      <c r="T884" s="186"/>
      <c r="U884" s="186"/>
      <c r="V884" s="186"/>
      <c r="W884" s="186"/>
      <c r="X884" s="186"/>
      <c r="Y884" s="186"/>
      <c r="Z884" s="186"/>
      <c r="AA884" s="186"/>
      <c r="AB884" s="186"/>
      <c r="AC884" s="186"/>
      <c r="AD884" s="186"/>
      <c r="AF884" s="150"/>
      <c r="AG884" s="150"/>
      <c r="AH884" s="150"/>
      <c r="AI884" s="150"/>
      <c r="AJ884" s="150"/>
      <c r="AK884" s="150"/>
      <c r="AL884" s="150"/>
      <c r="AM884" s="150"/>
      <c r="AN884" s="150"/>
      <c r="AO884" s="150"/>
      <c r="AP884" s="150"/>
      <c r="AQ884" s="150"/>
      <c r="AT884" s="186"/>
      <c r="AU884" s="186"/>
      <c r="AV884" s="186"/>
      <c r="AW884" s="186"/>
      <c r="AX884" s="186"/>
      <c r="AY884" s="186"/>
      <c r="AZ884" s="186"/>
      <c r="BA884" s="186"/>
      <c r="BB884" s="186"/>
      <c r="BC884" s="186"/>
      <c r="BD884" s="186"/>
      <c r="BE884" s="186"/>
      <c r="BF884" s="150"/>
      <c r="BG884" s="150"/>
    </row>
    <row r="885" spans="3:59" ht="14.6">
      <c r="C885" s="289"/>
      <c r="D885" s="150"/>
      <c r="E885" s="150"/>
      <c r="F885" s="150"/>
      <c r="G885" s="150"/>
      <c r="H885" s="150"/>
      <c r="I885" s="150"/>
      <c r="J885" s="150"/>
      <c r="K885" s="150"/>
      <c r="L885" s="150"/>
      <c r="M885" s="150"/>
      <c r="N885" s="150"/>
      <c r="O885" s="150"/>
      <c r="P885" s="150"/>
      <c r="Q885" s="150"/>
      <c r="R885" s="150"/>
      <c r="S885" s="150"/>
      <c r="T885" s="186"/>
      <c r="U885" s="186"/>
      <c r="V885" s="186"/>
      <c r="W885" s="186"/>
      <c r="X885" s="186"/>
      <c r="Y885" s="186"/>
      <c r="Z885" s="186"/>
      <c r="AA885" s="186"/>
      <c r="AB885" s="186"/>
      <c r="AC885" s="186"/>
      <c r="AD885" s="186"/>
      <c r="AF885" s="150"/>
      <c r="AG885" s="150"/>
      <c r="AH885" s="150"/>
      <c r="AI885" s="150"/>
      <c r="AJ885" s="150"/>
      <c r="AK885" s="150"/>
      <c r="AL885" s="150"/>
      <c r="AM885" s="150"/>
      <c r="AN885" s="150"/>
      <c r="AO885" s="150"/>
      <c r="AP885" s="150"/>
      <c r="AQ885" s="150"/>
      <c r="AT885" s="186"/>
      <c r="AU885" s="186"/>
      <c r="AV885" s="186"/>
      <c r="AW885" s="186"/>
      <c r="AX885" s="186"/>
      <c r="AY885" s="186"/>
      <c r="AZ885" s="186"/>
      <c r="BA885" s="186"/>
      <c r="BB885" s="186"/>
      <c r="BC885" s="186"/>
      <c r="BD885" s="186"/>
      <c r="BE885" s="186"/>
      <c r="BF885" s="150"/>
      <c r="BG885" s="150"/>
    </row>
    <row r="886" spans="3:59" ht="14.6">
      <c r="C886" s="289"/>
      <c r="D886" s="150"/>
      <c r="E886" s="150"/>
      <c r="F886" s="150"/>
      <c r="G886" s="150"/>
      <c r="H886" s="150"/>
      <c r="I886" s="150"/>
      <c r="J886" s="150"/>
      <c r="K886" s="150"/>
      <c r="L886" s="150"/>
      <c r="M886" s="150"/>
      <c r="N886" s="150"/>
      <c r="O886" s="150"/>
      <c r="P886" s="150"/>
      <c r="Q886" s="150"/>
      <c r="R886" s="150"/>
      <c r="S886" s="150"/>
      <c r="T886" s="186"/>
      <c r="U886" s="186"/>
      <c r="V886" s="186"/>
      <c r="W886" s="186"/>
      <c r="X886" s="186"/>
      <c r="Y886" s="186"/>
      <c r="Z886" s="186"/>
      <c r="AA886" s="186"/>
      <c r="AB886" s="186"/>
      <c r="AC886" s="186"/>
      <c r="AD886" s="186"/>
      <c r="AF886" s="150"/>
      <c r="AG886" s="150"/>
      <c r="AH886" s="150"/>
      <c r="AI886" s="150"/>
      <c r="AJ886" s="150"/>
      <c r="AK886" s="150"/>
      <c r="AL886" s="150"/>
      <c r="AM886" s="150"/>
      <c r="AN886" s="150"/>
      <c r="AO886" s="150"/>
      <c r="AP886" s="150"/>
      <c r="AQ886" s="150"/>
      <c r="AT886" s="186"/>
      <c r="AU886" s="186"/>
      <c r="AV886" s="186"/>
      <c r="AW886" s="186"/>
      <c r="AX886" s="186"/>
      <c r="AY886" s="186"/>
      <c r="AZ886" s="186"/>
      <c r="BA886" s="186"/>
      <c r="BB886" s="186"/>
      <c r="BC886" s="186"/>
      <c r="BD886" s="186"/>
      <c r="BE886" s="186"/>
      <c r="BF886" s="150"/>
      <c r="BG886" s="150"/>
    </row>
    <row r="887" spans="3:59" ht="14.6">
      <c r="C887" s="289"/>
      <c r="D887" s="150"/>
      <c r="E887" s="150"/>
      <c r="F887" s="150"/>
      <c r="G887" s="150"/>
      <c r="H887" s="150"/>
      <c r="I887" s="150"/>
      <c r="J887" s="150"/>
      <c r="K887" s="150"/>
      <c r="L887" s="150"/>
      <c r="M887" s="150"/>
      <c r="N887" s="150"/>
      <c r="O887" s="150"/>
      <c r="P887" s="150"/>
      <c r="Q887" s="150"/>
      <c r="R887" s="150"/>
      <c r="S887" s="150"/>
      <c r="T887" s="186"/>
      <c r="U887" s="186"/>
      <c r="V887" s="186"/>
      <c r="W887" s="186"/>
      <c r="X887" s="186"/>
      <c r="Y887" s="186"/>
      <c r="Z887" s="186"/>
      <c r="AA887" s="186"/>
      <c r="AB887" s="186"/>
      <c r="AC887" s="186"/>
      <c r="AD887" s="186"/>
      <c r="AF887" s="150"/>
      <c r="AG887" s="150"/>
      <c r="AH887" s="150"/>
      <c r="AI887" s="150"/>
      <c r="AJ887" s="150"/>
      <c r="AK887" s="150"/>
      <c r="AL887" s="150"/>
      <c r="AM887" s="150"/>
      <c r="AN887" s="150"/>
      <c r="AO887" s="150"/>
      <c r="AP887" s="150"/>
      <c r="AQ887" s="150"/>
      <c r="AT887" s="186"/>
      <c r="AU887" s="186"/>
      <c r="AV887" s="186"/>
      <c r="AW887" s="186"/>
      <c r="AX887" s="186"/>
      <c r="AY887" s="186"/>
      <c r="AZ887" s="186"/>
      <c r="BA887" s="186"/>
      <c r="BB887" s="186"/>
      <c r="BC887" s="186"/>
      <c r="BD887" s="186"/>
      <c r="BE887" s="186"/>
      <c r="BF887" s="150"/>
      <c r="BG887" s="150"/>
    </row>
    <row r="888" spans="3:59" ht="14.6">
      <c r="C888" s="289"/>
      <c r="D888" s="150"/>
      <c r="E888" s="150"/>
      <c r="F888" s="150"/>
      <c r="G888" s="150"/>
      <c r="H888" s="150"/>
      <c r="I888" s="150"/>
      <c r="J888" s="150"/>
      <c r="K888" s="150"/>
      <c r="L888" s="150"/>
      <c r="M888" s="150"/>
      <c r="N888" s="150"/>
      <c r="O888" s="150"/>
      <c r="P888" s="150"/>
      <c r="Q888" s="150"/>
      <c r="R888" s="150"/>
      <c r="S888" s="150"/>
      <c r="T888" s="186"/>
      <c r="U888" s="186"/>
      <c r="V888" s="186"/>
      <c r="W888" s="186"/>
      <c r="X888" s="186"/>
      <c r="Y888" s="186"/>
      <c r="Z888" s="186"/>
      <c r="AA888" s="186"/>
      <c r="AB888" s="186"/>
      <c r="AC888" s="186"/>
      <c r="AD888" s="186"/>
      <c r="AF888" s="150"/>
      <c r="AG888" s="150"/>
      <c r="AH888" s="150"/>
      <c r="AI888" s="150"/>
      <c r="AJ888" s="150"/>
      <c r="AK888" s="150"/>
      <c r="AL888" s="150"/>
      <c r="AM888" s="150"/>
      <c r="AN888" s="150"/>
      <c r="AO888" s="150"/>
      <c r="AP888" s="150"/>
      <c r="AQ888" s="150"/>
      <c r="AT888" s="186"/>
      <c r="AU888" s="186"/>
      <c r="AV888" s="186"/>
      <c r="AW888" s="186"/>
      <c r="AX888" s="186"/>
      <c r="AY888" s="186"/>
      <c r="AZ888" s="186"/>
      <c r="BA888" s="186"/>
      <c r="BB888" s="186"/>
      <c r="BC888" s="186"/>
      <c r="BD888" s="186"/>
      <c r="BE888" s="186"/>
      <c r="BF888" s="150"/>
      <c r="BG888" s="150"/>
    </row>
    <row r="889" spans="3:59" ht="14.6">
      <c r="C889" s="289"/>
      <c r="D889" s="150"/>
      <c r="E889" s="150"/>
      <c r="F889" s="150"/>
      <c r="G889" s="150"/>
      <c r="H889" s="150"/>
      <c r="I889" s="150"/>
      <c r="J889" s="150"/>
      <c r="K889" s="150"/>
      <c r="L889" s="150"/>
      <c r="M889" s="150"/>
      <c r="N889" s="150"/>
      <c r="O889" s="150"/>
      <c r="P889" s="150"/>
      <c r="Q889" s="150"/>
      <c r="R889" s="150"/>
      <c r="S889" s="150"/>
      <c r="T889" s="186"/>
      <c r="U889" s="186"/>
      <c r="V889" s="186"/>
      <c r="W889" s="186"/>
      <c r="X889" s="186"/>
      <c r="Y889" s="186"/>
      <c r="Z889" s="186"/>
      <c r="AA889" s="186"/>
      <c r="AB889" s="186"/>
      <c r="AC889" s="186"/>
      <c r="AD889" s="186"/>
      <c r="AF889" s="150"/>
      <c r="AG889" s="150"/>
      <c r="AH889" s="150"/>
      <c r="AI889" s="150"/>
      <c r="AJ889" s="150"/>
      <c r="AK889" s="150"/>
      <c r="AL889" s="150"/>
      <c r="AM889" s="150"/>
      <c r="AN889" s="150"/>
      <c r="AO889" s="150"/>
      <c r="AP889" s="150"/>
      <c r="AQ889" s="150"/>
      <c r="AT889" s="186"/>
      <c r="AU889" s="186"/>
      <c r="AV889" s="186"/>
      <c r="AW889" s="186"/>
      <c r="AX889" s="186"/>
      <c r="AY889" s="186"/>
      <c r="AZ889" s="186"/>
      <c r="BA889" s="186"/>
      <c r="BB889" s="186"/>
      <c r="BC889" s="186"/>
      <c r="BD889" s="186"/>
      <c r="BE889" s="186"/>
      <c r="BF889" s="150"/>
      <c r="BG889" s="150"/>
    </row>
    <row r="890" spans="3:59" ht="14.6">
      <c r="C890" s="289"/>
      <c r="D890" s="150"/>
      <c r="E890" s="150"/>
      <c r="F890" s="150"/>
      <c r="G890" s="150"/>
      <c r="H890" s="150"/>
      <c r="I890" s="150"/>
      <c r="J890" s="150"/>
      <c r="K890" s="150"/>
      <c r="L890" s="150"/>
      <c r="M890" s="150"/>
      <c r="N890" s="150"/>
      <c r="O890" s="150"/>
      <c r="P890" s="150"/>
      <c r="Q890" s="150"/>
      <c r="R890" s="150"/>
      <c r="S890" s="150"/>
      <c r="T890" s="186"/>
      <c r="U890" s="186"/>
      <c r="V890" s="186"/>
      <c r="W890" s="186"/>
      <c r="X890" s="186"/>
      <c r="Y890" s="186"/>
      <c r="Z890" s="186"/>
      <c r="AA890" s="186"/>
      <c r="AB890" s="186"/>
      <c r="AC890" s="186"/>
      <c r="AD890" s="186"/>
      <c r="AF890" s="150"/>
      <c r="AG890" s="150"/>
      <c r="AH890" s="150"/>
      <c r="AI890" s="150"/>
      <c r="AJ890" s="150"/>
      <c r="AK890" s="150"/>
      <c r="AL890" s="150"/>
      <c r="AM890" s="150"/>
      <c r="AN890" s="150"/>
      <c r="AO890" s="150"/>
      <c r="AP890" s="150"/>
      <c r="AQ890" s="150"/>
      <c r="AT890" s="186"/>
      <c r="AU890" s="186"/>
      <c r="AV890" s="186"/>
      <c r="AW890" s="186"/>
      <c r="AX890" s="186"/>
      <c r="AY890" s="186"/>
      <c r="AZ890" s="186"/>
      <c r="BA890" s="186"/>
      <c r="BB890" s="186"/>
      <c r="BC890" s="186"/>
      <c r="BD890" s="186"/>
      <c r="BE890" s="186"/>
      <c r="BF890" s="150"/>
      <c r="BG890" s="150"/>
    </row>
    <row r="891" spans="3:59" ht="14.6">
      <c r="C891" s="289"/>
      <c r="D891" s="150"/>
      <c r="E891" s="150"/>
      <c r="F891" s="150"/>
      <c r="G891" s="150"/>
      <c r="H891" s="150"/>
      <c r="I891" s="150"/>
      <c r="J891" s="150"/>
      <c r="K891" s="150"/>
      <c r="L891" s="150"/>
      <c r="M891" s="150"/>
      <c r="N891" s="150"/>
      <c r="O891" s="150"/>
      <c r="P891" s="150"/>
      <c r="Q891" s="150"/>
      <c r="R891" s="150"/>
      <c r="S891" s="150"/>
      <c r="T891" s="186"/>
      <c r="U891" s="186"/>
      <c r="V891" s="186"/>
      <c r="W891" s="186"/>
      <c r="X891" s="186"/>
      <c r="Y891" s="186"/>
      <c r="Z891" s="186"/>
      <c r="AA891" s="186"/>
      <c r="AB891" s="186"/>
      <c r="AC891" s="186"/>
      <c r="AD891" s="186"/>
      <c r="AF891" s="150"/>
      <c r="AG891" s="150"/>
      <c r="AH891" s="150"/>
      <c r="AI891" s="150"/>
      <c r="AJ891" s="150"/>
      <c r="AK891" s="150"/>
      <c r="AL891" s="150"/>
      <c r="AM891" s="150"/>
      <c r="AN891" s="150"/>
      <c r="AO891" s="150"/>
      <c r="AP891" s="150"/>
      <c r="AQ891" s="150"/>
      <c r="AT891" s="186"/>
      <c r="AU891" s="186"/>
      <c r="AV891" s="186"/>
      <c r="AW891" s="186"/>
      <c r="AX891" s="186"/>
      <c r="AY891" s="186"/>
      <c r="AZ891" s="186"/>
      <c r="BA891" s="186"/>
      <c r="BB891" s="186"/>
      <c r="BC891" s="186"/>
      <c r="BD891" s="186"/>
      <c r="BE891" s="186"/>
      <c r="BF891" s="150"/>
      <c r="BG891" s="150"/>
    </row>
    <row r="892" spans="3:59" ht="14.6">
      <c r="C892" s="289"/>
      <c r="D892" s="150"/>
      <c r="E892" s="150"/>
      <c r="F892" s="150"/>
      <c r="G892" s="150"/>
      <c r="H892" s="150"/>
      <c r="I892" s="150"/>
      <c r="J892" s="150"/>
      <c r="K892" s="150"/>
      <c r="L892" s="150"/>
      <c r="M892" s="150"/>
      <c r="N892" s="150"/>
      <c r="O892" s="150"/>
      <c r="P892" s="150"/>
      <c r="Q892" s="150"/>
      <c r="R892" s="150"/>
      <c r="S892" s="150"/>
      <c r="T892" s="186"/>
      <c r="U892" s="186"/>
      <c r="V892" s="186"/>
      <c r="W892" s="186"/>
      <c r="X892" s="186"/>
      <c r="Y892" s="186"/>
      <c r="Z892" s="186"/>
      <c r="AA892" s="186"/>
      <c r="AB892" s="186"/>
      <c r="AC892" s="186"/>
      <c r="AD892" s="186"/>
      <c r="AF892" s="150"/>
      <c r="AG892" s="150"/>
      <c r="AH892" s="150"/>
      <c r="AI892" s="150"/>
      <c r="AJ892" s="150"/>
      <c r="AK892" s="150"/>
      <c r="AL892" s="150"/>
      <c r="AM892" s="150"/>
      <c r="AN892" s="150"/>
      <c r="AO892" s="150"/>
      <c r="AP892" s="150"/>
      <c r="AQ892" s="150"/>
      <c r="AT892" s="186"/>
      <c r="AU892" s="186"/>
      <c r="AV892" s="186"/>
      <c r="AW892" s="186"/>
      <c r="AX892" s="186"/>
      <c r="AY892" s="186"/>
      <c r="AZ892" s="186"/>
      <c r="BA892" s="186"/>
      <c r="BB892" s="186"/>
      <c r="BC892" s="186"/>
      <c r="BD892" s="186"/>
      <c r="BE892" s="186"/>
      <c r="BF892" s="150"/>
      <c r="BG892" s="150"/>
    </row>
    <row r="893" spans="3:59" ht="14.6">
      <c r="C893" s="289"/>
      <c r="D893" s="150"/>
      <c r="E893" s="150"/>
      <c r="F893" s="150"/>
      <c r="G893" s="150"/>
      <c r="H893" s="150"/>
      <c r="I893" s="150"/>
      <c r="J893" s="150"/>
      <c r="K893" s="150"/>
      <c r="L893" s="150"/>
      <c r="M893" s="150"/>
      <c r="N893" s="150"/>
      <c r="O893" s="150"/>
      <c r="P893" s="150"/>
      <c r="Q893" s="150"/>
      <c r="R893" s="150"/>
      <c r="S893" s="150"/>
      <c r="T893" s="186"/>
      <c r="U893" s="186"/>
      <c r="V893" s="186"/>
      <c r="W893" s="186"/>
      <c r="X893" s="186"/>
      <c r="Y893" s="186"/>
      <c r="Z893" s="186"/>
      <c r="AA893" s="186"/>
      <c r="AB893" s="186"/>
      <c r="AC893" s="186"/>
      <c r="AD893" s="186"/>
      <c r="AF893" s="150"/>
      <c r="AG893" s="150"/>
      <c r="AH893" s="150"/>
      <c r="AI893" s="150"/>
      <c r="AJ893" s="150"/>
      <c r="AK893" s="150"/>
      <c r="AL893" s="150"/>
      <c r="AM893" s="150"/>
      <c r="AN893" s="150"/>
      <c r="AO893" s="150"/>
      <c r="AP893" s="150"/>
      <c r="AQ893" s="150"/>
      <c r="AT893" s="186"/>
      <c r="AU893" s="186"/>
      <c r="AV893" s="186"/>
      <c r="AW893" s="186"/>
      <c r="AX893" s="186"/>
      <c r="AY893" s="186"/>
      <c r="AZ893" s="186"/>
      <c r="BA893" s="186"/>
      <c r="BB893" s="186"/>
      <c r="BC893" s="186"/>
      <c r="BD893" s="186"/>
      <c r="BE893" s="186"/>
      <c r="BF893" s="150"/>
      <c r="BG893" s="150"/>
    </row>
    <row r="894" spans="3:59" ht="14.6">
      <c r="C894" s="289"/>
      <c r="D894" s="150"/>
      <c r="E894" s="150"/>
      <c r="F894" s="150"/>
      <c r="G894" s="150"/>
      <c r="H894" s="150"/>
      <c r="I894" s="150"/>
      <c r="J894" s="150"/>
      <c r="K894" s="150"/>
      <c r="L894" s="150"/>
      <c r="M894" s="150"/>
      <c r="N894" s="150"/>
      <c r="O894" s="150"/>
      <c r="P894" s="150"/>
      <c r="Q894" s="150"/>
      <c r="R894" s="150"/>
      <c r="S894" s="150"/>
      <c r="T894" s="186"/>
      <c r="U894" s="186"/>
      <c r="V894" s="186"/>
      <c r="W894" s="186"/>
      <c r="X894" s="186"/>
      <c r="Y894" s="186"/>
      <c r="Z894" s="186"/>
      <c r="AA894" s="186"/>
      <c r="AB894" s="186"/>
      <c r="AC894" s="186"/>
      <c r="AD894" s="186"/>
      <c r="AF894" s="150"/>
      <c r="AG894" s="150"/>
      <c r="AH894" s="150"/>
      <c r="AI894" s="150"/>
      <c r="AJ894" s="150"/>
      <c r="AK894" s="150"/>
      <c r="AL894" s="150"/>
      <c r="AM894" s="150"/>
      <c r="AN894" s="150"/>
      <c r="AO894" s="150"/>
      <c r="AP894" s="150"/>
      <c r="AQ894" s="150"/>
      <c r="AT894" s="186"/>
      <c r="AU894" s="186"/>
      <c r="AV894" s="186"/>
      <c r="AW894" s="186"/>
      <c r="AX894" s="186"/>
      <c r="AY894" s="186"/>
      <c r="AZ894" s="186"/>
      <c r="BA894" s="186"/>
      <c r="BB894" s="186"/>
      <c r="BC894" s="186"/>
      <c r="BD894" s="186"/>
      <c r="BE894" s="186"/>
      <c r="BF894" s="150"/>
      <c r="BG894" s="150"/>
    </row>
    <row r="895" spans="3:59" ht="14.6">
      <c r="C895" s="289"/>
      <c r="D895" s="150"/>
      <c r="E895" s="150"/>
      <c r="F895" s="150"/>
      <c r="G895" s="150"/>
      <c r="H895" s="150"/>
      <c r="I895" s="150"/>
      <c r="J895" s="150"/>
      <c r="K895" s="150"/>
      <c r="L895" s="150"/>
      <c r="M895" s="150"/>
      <c r="N895" s="150"/>
      <c r="O895" s="150"/>
      <c r="P895" s="150"/>
      <c r="Q895" s="150"/>
      <c r="R895" s="150"/>
      <c r="S895" s="150"/>
      <c r="T895" s="186"/>
      <c r="U895" s="186"/>
      <c r="V895" s="186"/>
      <c r="W895" s="186"/>
      <c r="X895" s="186"/>
      <c r="Y895" s="186"/>
      <c r="Z895" s="186"/>
      <c r="AA895" s="186"/>
      <c r="AB895" s="186"/>
      <c r="AC895" s="186"/>
      <c r="AD895" s="186"/>
      <c r="AF895" s="150"/>
      <c r="AG895" s="150"/>
      <c r="AH895" s="150"/>
      <c r="AI895" s="150"/>
      <c r="AJ895" s="150"/>
      <c r="AK895" s="150"/>
      <c r="AL895" s="150"/>
      <c r="AM895" s="150"/>
      <c r="AN895" s="150"/>
      <c r="AO895" s="150"/>
      <c r="AP895" s="150"/>
      <c r="AQ895" s="150"/>
      <c r="AT895" s="186"/>
      <c r="AU895" s="186"/>
      <c r="AV895" s="186"/>
      <c r="AW895" s="186"/>
      <c r="AX895" s="186"/>
      <c r="AY895" s="186"/>
      <c r="AZ895" s="186"/>
      <c r="BA895" s="186"/>
      <c r="BB895" s="186"/>
      <c r="BC895" s="186"/>
      <c r="BD895" s="186"/>
      <c r="BE895" s="186"/>
      <c r="BF895" s="150"/>
      <c r="BG895" s="150"/>
    </row>
    <row r="896" spans="3:59" ht="14.6">
      <c r="C896" s="289"/>
      <c r="D896" s="150"/>
      <c r="E896" s="150"/>
      <c r="F896" s="150"/>
      <c r="G896" s="150"/>
      <c r="H896" s="150"/>
      <c r="I896" s="150"/>
      <c r="J896" s="150"/>
      <c r="K896" s="150"/>
      <c r="L896" s="150"/>
      <c r="M896" s="150"/>
      <c r="N896" s="150"/>
      <c r="O896" s="150"/>
      <c r="P896" s="150"/>
      <c r="Q896" s="150"/>
      <c r="R896" s="150"/>
      <c r="S896" s="150"/>
      <c r="T896" s="186"/>
      <c r="U896" s="186"/>
      <c r="V896" s="186"/>
      <c r="W896" s="186"/>
      <c r="X896" s="186"/>
      <c r="Y896" s="186"/>
      <c r="Z896" s="186"/>
      <c r="AA896" s="186"/>
      <c r="AB896" s="186"/>
      <c r="AC896" s="186"/>
      <c r="AD896" s="186"/>
      <c r="AF896" s="150"/>
      <c r="AG896" s="150"/>
      <c r="AH896" s="150"/>
      <c r="AI896" s="150"/>
      <c r="AJ896" s="150"/>
      <c r="AK896" s="150"/>
      <c r="AL896" s="150"/>
      <c r="AM896" s="150"/>
      <c r="AN896" s="150"/>
      <c r="AO896" s="150"/>
      <c r="AP896" s="150"/>
      <c r="AQ896" s="150"/>
      <c r="AT896" s="186"/>
      <c r="AU896" s="186"/>
      <c r="AV896" s="186"/>
      <c r="AW896" s="186"/>
      <c r="AX896" s="186"/>
      <c r="AY896" s="186"/>
      <c r="AZ896" s="186"/>
      <c r="BA896" s="186"/>
      <c r="BB896" s="186"/>
      <c r="BC896" s="186"/>
      <c r="BD896" s="186"/>
      <c r="BE896" s="186"/>
      <c r="BF896" s="150"/>
      <c r="BG896" s="150"/>
    </row>
    <row r="897" spans="3:59" ht="14.6">
      <c r="C897" s="289"/>
      <c r="D897" s="150"/>
      <c r="E897" s="150"/>
      <c r="F897" s="150"/>
      <c r="G897" s="150"/>
      <c r="H897" s="150"/>
      <c r="I897" s="150"/>
      <c r="J897" s="150"/>
      <c r="K897" s="150"/>
      <c r="L897" s="150"/>
      <c r="M897" s="150"/>
      <c r="N897" s="150"/>
      <c r="O897" s="150"/>
      <c r="P897" s="150"/>
      <c r="Q897" s="150"/>
      <c r="R897" s="150"/>
      <c r="S897" s="150"/>
      <c r="T897" s="186"/>
      <c r="U897" s="186"/>
      <c r="V897" s="186"/>
      <c r="W897" s="186"/>
      <c r="X897" s="186"/>
      <c r="Y897" s="186"/>
      <c r="Z897" s="186"/>
      <c r="AA897" s="186"/>
      <c r="AB897" s="186"/>
      <c r="AC897" s="186"/>
      <c r="AD897" s="186"/>
      <c r="AF897" s="150"/>
      <c r="AG897" s="150"/>
      <c r="AH897" s="150"/>
      <c r="AI897" s="150"/>
      <c r="AJ897" s="150"/>
      <c r="AK897" s="150"/>
      <c r="AL897" s="150"/>
      <c r="AM897" s="150"/>
      <c r="AN897" s="150"/>
      <c r="AO897" s="150"/>
      <c r="AP897" s="150"/>
      <c r="AQ897" s="150"/>
      <c r="AT897" s="186"/>
      <c r="AU897" s="186"/>
      <c r="AV897" s="186"/>
      <c r="AW897" s="186"/>
      <c r="AX897" s="186"/>
      <c r="AY897" s="186"/>
      <c r="AZ897" s="186"/>
      <c r="BA897" s="186"/>
      <c r="BB897" s="186"/>
      <c r="BC897" s="186"/>
      <c r="BD897" s="186"/>
      <c r="BE897" s="186"/>
      <c r="BF897" s="150"/>
      <c r="BG897" s="150"/>
    </row>
    <row r="898" spans="3:59" ht="14.6">
      <c r="C898" s="289"/>
      <c r="D898" s="150"/>
      <c r="E898" s="150"/>
      <c r="F898" s="150"/>
      <c r="G898" s="150"/>
      <c r="H898" s="150"/>
      <c r="I898" s="150"/>
      <c r="J898" s="150"/>
      <c r="K898" s="150"/>
      <c r="L898" s="150"/>
      <c r="M898" s="150"/>
      <c r="N898" s="150"/>
      <c r="O898" s="150"/>
      <c r="P898" s="150"/>
      <c r="Q898" s="150"/>
      <c r="R898" s="150"/>
      <c r="S898" s="150"/>
      <c r="T898" s="186"/>
      <c r="U898" s="186"/>
      <c r="V898" s="186"/>
      <c r="W898" s="186"/>
      <c r="X898" s="186"/>
      <c r="Y898" s="186"/>
      <c r="Z898" s="186"/>
      <c r="AA898" s="186"/>
      <c r="AB898" s="186"/>
      <c r="AC898" s="186"/>
      <c r="AD898" s="186"/>
      <c r="AF898" s="150"/>
      <c r="AG898" s="150"/>
      <c r="AH898" s="150"/>
      <c r="AI898" s="150"/>
      <c r="AJ898" s="150"/>
      <c r="AK898" s="150"/>
      <c r="AL898" s="150"/>
      <c r="AM898" s="150"/>
      <c r="AN898" s="150"/>
      <c r="AO898" s="150"/>
      <c r="AP898" s="150"/>
      <c r="AQ898" s="150"/>
      <c r="AT898" s="186"/>
      <c r="AU898" s="186"/>
      <c r="AV898" s="186"/>
      <c r="AW898" s="186"/>
      <c r="AX898" s="186"/>
      <c r="AY898" s="186"/>
      <c r="AZ898" s="186"/>
      <c r="BA898" s="186"/>
      <c r="BB898" s="186"/>
      <c r="BC898" s="186"/>
      <c r="BD898" s="186"/>
      <c r="BE898" s="186"/>
      <c r="BF898" s="150"/>
      <c r="BG898" s="150"/>
    </row>
    <row r="899" spans="3:59" ht="14.6">
      <c r="C899" s="289"/>
      <c r="D899" s="150"/>
      <c r="E899" s="150"/>
      <c r="F899" s="150"/>
      <c r="G899" s="150"/>
      <c r="H899" s="150"/>
      <c r="I899" s="150"/>
      <c r="J899" s="150"/>
      <c r="K899" s="150"/>
      <c r="L899" s="150"/>
      <c r="M899" s="150"/>
      <c r="N899" s="150"/>
      <c r="O899" s="150"/>
      <c r="P899" s="150"/>
      <c r="Q899" s="150"/>
      <c r="R899" s="150"/>
      <c r="S899" s="150"/>
      <c r="T899" s="186"/>
      <c r="U899" s="186"/>
      <c r="V899" s="186"/>
      <c r="W899" s="186"/>
      <c r="X899" s="186"/>
      <c r="Y899" s="186"/>
      <c r="Z899" s="186"/>
      <c r="AA899" s="186"/>
      <c r="AB899" s="186"/>
      <c r="AC899" s="186"/>
      <c r="AD899" s="186"/>
      <c r="AF899" s="150"/>
      <c r="AG899" s="150"/>
      <c r="AH899" s="150"/>
      <c r="AI899" s="150"/>
      <c r="AJ899" s="150"/>
      <c r="AK899" s="150"/>
      <c r="AL899" s="150"/>
      <c r="AM899" s="150"/>
      <c r="AN899" s="150"/>
      <c r="AO899" s="150"/>
      <c r="AP899" s="150"/>
      <c r="AQ899" s="150"/>
      <c r="AT899" s="186"/>
      <c r="AU899" s="186"/>
      <c r="AV899" s="186"/>
      <c r="AW899" s="186"/>
      <c r="AX899" s="186"/>
      <c r="AY899" s="186"/>
      <c r="AZ899" s="186"/>
      <c r="BA899" s="186"/>
      <c r="BB899" s="186"/>
      <c r="BC899" s="186"/>
      <c r="BD899" s="186"/>
      <c r="BE899" s="186"/>
      <c r="BF899" s="150"/>
      <c r="BG899" s="150"/>
    </row>
    <row r="900" spans="3:59" ht="14.6">
      <c r="C900" s="289"/>
      <c r="D900" s="150"/>
      <c r="E900" s="150"/>
      <c r="F900" s="150"/>
      <c r="G900" s="150"/>
      <c r="H900" s="150"/>
      <c r="I900" s="150"/>
      <c r="J900" s="150"/>
      <c r="K900" s="150"/>
      <c r="L900" s="150"/>
      <c r="M900" s="150"/>
      <c r="N900" s="150"/>
      <c r="O900" s="150"/>
      <c r="P900" s="150"/>
      <c r="Q900" s="150"/>
      <c r="R900" s="150"/>
      <c r="S900" s="150"/>
      <c r="T900" s="186"/>
      <c r="U900" s="186"/>
      <c r="V900" s="186"/>
      <c r="W900" s="186"/>
      <c r="X900" s="186"/>
      <c r="Y900" s="186"/>
      <c r="Z900" s="186"/>
      <c r="AA900" s="186"/>
      <c r="AB900" s="186"/>
      <c r="AC900" s="186"/>
      <c r="AD900" s="186"/>
      <c r="AF900" s="150"/>
      <c r="AG900" s="150"/>
      <c r="AH900" s="150"/>
      <c r="AI900" s="150"/>
      <c r="AJ900" s="150"/>
      <c r="AK900" s="150"/>
      <c r="AL900" s="150"/>
      <c r="AM900" s="150"/>
      <c r="AN900" s="150"/>
      <c r="AO900" s="150"/>
      <c r="AP900" s="150"/>
      <c r="AQ900" s="150"/>
      <c r="AT900" s="186"/>
      <c r="AU900" s="186"/>
      <c r="AV900" s="186"/>
      <c r="AW900" s="186"/>
      <c r="AX900" s="186"/>
      <c r="AY900" s="186"/>
      <c r="AZ900" s="186"/>
      <c r="BA900" s="186"/>
      <c r="BB900" s="186"/>
      <c r="BC900" s="186"/>
      <c r="BD900" s="186"/>
      <c r="BE900" s="186"/>
      <c r="BF900" s="150"/>
      <c r="BG900" s="150"/>
    </row>
    <row r="901" spans="3:59" ht="14.6">
      <c r="C901" s="289"/>
      <c r="D901" s="150"/>
      <c r="E901" s="150"/>
      <c r="F901" s="150"/>
      <c r="G901" s="150"/>
      <c r="H901" s="150"/>
      <c r="I901" s="150"/>
      <c r="J901" s="150"/>
      <c r="K901" s="150"/>
      <c r="L901" s="150"/>
      <c r="M901" s="150"/>
      <c r="N901" s="150"/>
      <c r="O901" s="150"/>
      <c r="P901" s="150"/>
      <c r="Q901" s="150"/>
      <c r="R901" s="150"/>
      <c r="S901" s="150"/>
      <c r="T901" s="186"/>
      <c r="U901" s="186"/>
      <c r="V901" s="186"/>
      <c r="W901" s="186"/>
      <c r="X901" s="186"/>
      <c r="Y901" s="186"/>
      <c r="Z901" s="186"/>
      <c r="AA901" s="186"/>
      <c r="AB901" s="186"/>
      <c r="AC901" s="186"/>
      <c r="AD901" s="186"/>
      <c r="AF901" s="150"/>
      <c r="AG901" s="150"/>
      <c r="AH901" s="150"/>
      <c r="AI901" s="150"/>
      <c r="AJ901" s="150"/>
      <c r="AK901" s="150"/>
      <c r="AL901" s="150"/>
      <c r="AM901" s="150"/>
      <c r="AN901" s="150"/>
      <c r="AO901" s="150"/>
      <c r="AP901" s="150"/>
      <c r="AQ901" s="150"/>
      <c r="AT901" s="186"/>
      <c r="AU901" s="186"/>
      <c r="AV901" s="186"/>
      <c r="AW901" s="186"/>
      <c r="AX901" s="186"/>
      <c r="AY901" s="186"/>
      <c r="AZ901" s="186"/>
      <c r="BA901" s="186"/>
      <c r="BB901" s="186"/>
      <c r="BC901" s="186"/>
      <c r="BD901" s="186"/>
      <c r="BE901" s="186"/>
      <c r="BF901" s="150"/>
      <c r="BG901" s="150"/>
    </row>
    <row r="902" spans="3:59" ht="14.6">
      <c r="C902" s="289"/>
      <c r="D902" s="150"/>
      <c r="E902" s="150"/>
      <c r="F902" s="150"/>
      <c r="G902" s="150"/>
      <c r="H902" s="150"/>
      <c r="I902" s="150"/>
      <c r="J902" s="150"/>
      <c r="K902" s="150"/>
      <c r="L902" s="150"/>
      <c r="M902" s="150"/>
      <c r="N902" s="150"/>
      <c r="O902" s="150"/>
      <c r="P902" s="150"/>
      <c r="Q902" s="150"/>
      <c r="R902" s="150"/>
      <c r="S902" s="150"/>
      <c r="T902" s="186"/>
      <c r="U902" s="186"/>
      <c r="V902" s="186"/>
      <c r="W902" s="186"/>
      <c r="X902" s="186"/>
      <c r="Y902" s="186"/>
      <c r="Z902" s="186"/>
      <c r="AA902" s="186"/>
      <c r="AB902" s="186"/>
      <c r="AC902" s="186"/>
      <c r="AD902" s="186"/>
      <c r="AF902" s="150"/>
      <c r="AG902" s="150"/>
      <c r="AH902" s="150"/>
      <c r="AI902" s="150"/>
      <c r="AJ902" s="150"/>
      <c r="AK902" s="150"/>
      <c r="AL902" s="150"/>
      <c r="AM902" s="150"/>
      <c r="AN902" s="150"/>
      <c r="AO902" s="150"/>
      <c r="AP902" s="150"/>
      <c r="AQ902" s="150"/>
      <c r="AT902" s="186"/>
      <c r="AU902" s="186"/>
      <c r="AV902" s="186"/>
      <c r="AW902" s="186"/>
      <c r="AX902" s="186"/>
      <c r="AY902" s="186"/>
      <c r="AZ902" s="186"/>
      <c r="BA902" s="186"/>
      <c r="BB902" s="186"/>
      <c r="BC902" s="186"/>
      <c r="BD902" s="186"/>
      <c r="BE902" s="186"/>
      <c r="BF902" s="150"/>
      <c r="BG902" s="150"/>
    </row>
    <row r="903" spans="3:59" ht="14.6">
      <c r="C903" s="289"/>
      <c r="D903" s="150"/>
      <c r="E903" s="150"/>
      <c r="F903" s="150"/>
      <c r="G903" s="150"/>
      <c r="H903" s="150"/>
      <c r="I903" s="150"/>
      <c r="J903" s="150"/>
      <c r="K903" s="150"/>
      <c r="L903" s="150"/>
      <c r="M903" s="150"/>
      <c r="N903" s="150"/>
      <c r="O903" s="150"/>
      <c r="P903" s="150"/>
      <c r="Q903" s="150"/>
      <c r="R903" s="150"/>
      <c r="S903" s="150"/>
      <c r="T903" s="186"/>
      <c r="U903" s="186"/>
      <c r="V903" s="186"/>
      <c r="W903" s="186"/>
      <c r="X903" s="186"/>
      <c r="Y903" s="186"/>
      <c r="Z903" s="186"/>
      <c r="AA903" s="186"/>
      <c r="AB903" s="186"/>
      <c r="AC903" s="186"/>
      <c r="AD903" s="186"/>
      <c r="AF903" s="150"/>
      <c r="AG903" s="150"/>
      <c r="AH903" s="150"/>
      <c r="AI903" s="150"/>
      <c r="AJ903" s="150"/>
      <c r="AK903" s="150"/>
      <c r="AL903" s="150"/>
      <c r="AM903" s="150"/>
      <c r="AN903" s="150"/>
      <c r="AO903" s="150"/>
      <c r="AP903" s="150"/>
      <c r="AQ903" s="150"/>
      <c r="AT903" s="186"/>
      <c r="AU903" s="186"/>
      <c r="AV903" s="186"/>
      <c r="AW903" s="186"/>
      <c r="AX903" s="186"/>
      <c r="AY903" s="186"/>
      <c r="AZ903" s="186"/>
      <c r="BA903" s="186"/>
      <c r="BB903" s="186"/>
      <c r="BC903" s="186"/>
      <c r="BD903" s="186"/>
      <c r="BE903" s="186"/>
      <c r="BF903" s="150"/>
      <c r="BG903" s="150"/>
    </row>
    <row r="904" spans="3:59" ht="14.6">
      <c r="C904" s="289"/>
      <c r="D904" s="150"/>
      <c r="E904" s="150"/>
      <c r="F904" s="150"/>
      <c r="G904" s="150"/>
      <c r="H904" s="150"/>
      <c r="I904" s="150"/>
      <c r="J904" s="150"/>
      <c r="K904" s="150"/>
      <c r="L904" s="150"/>
      <c r="M904" s="150"/>
      <c r="N904" s="150"/>
      <c r="O904" s="150"/>
      <c r="P904" s="150"/>
      <c r="Q904" s="150"/>
      <c r="R904" s="150"/>
      <c r="S904" s="150"/>
      <c r="T904" s="186"/>
      <c r="U904" s="186"/>
      <c r="V904" s="186"/>
      <c r="W904" s="186"/>
      <c r="X904" s="186"/>
      <c r="Y904" s="186"/>
      <c r="Z904" s="186"/>
      <c r="AA904" s="186"/>
      <c r="AB904" s="186"/>
      <c r="AC904" s="186"/>
      <c r="AD904" s="186"/>
      <c r="AF904" s="150"/>
      <c r="AG904" s="150"/>
      <c r="AH904" s="150"/>
      <c r="AI904" s="150"/>
      <c r="AJ904" s="150"/>
      <c r="AK904" s="150"/>
      <c r="AL904" s="150"/>
      <c r="AM904" s="150"/>
      <c r="AN904" s="150"/>
      <c r="AO904" s="150"/>
      <c r="AP904" s="150"/>
      <c r="AQ904" s="150"/>
      <c r="AT904" s="186"/>
      <c r="AU904" s="186"/>
      <c r="AV904" s="186"/>
      <c r="AW904" s="186"/>
      <c r="AX904" s="186"/>
      <c r="AY904" s="186"/>
      <c r="AZ904" s="186"/>
      <c r="BA904" s="186"/>
      <c r="BB904" s="186"/>
      <c r="BC904" s="186"/>
      <c r="BD904" s="186"/>
      <c r="BE904" s="186"/>
      <c r="BF904" s="150"/>
      <c r="BG904" s="150"/>
    </row>
    <row r="905" spans="3:59" ht="14.6">
      <c r="C905" s="289"/>
      <c r="D905" s="150"/>
      <c r="E905" s="150"/>
      <c r="F905" s="150"/>
      <c r="G905" s="150"/>
      <c r="H905" s="150"/>
      <c r="I905" s="150"/>
      <c r="J905" s="150"/>
      <c r="K905" s="150"/>
      <c r="L905" s="150"/>
      <c r="M905" s="150"/>
      <c r="N905" s="150"/>
      <c r="O905" s="150"/>
      <c r="P905" s="150"/>
      <c r="Q905" s="150"/>
      <c r="R905" s="150"/>
      <c r="S905" s="150"/>
      <c r="T905" s="186"/>
      <c r="U905" s="186"/>
      <c r="V905" s="186"/>
      <c r="W905" s="186"/>
      <c r="X905" s="186"/>
      <c r="Y905" s="186"/>
      <c r="Z905" s="186"/>
      <c r="AA905" s="186"/>
      <c r="AB905" s="186"/>
      <c r="AC905" s="186"/>
      <c r="AD905" s="186"/>
      <c r="AF905" s="150"/>
      <c r="AG905" s="150"/>
      <c r="AH905" s="150"/>
      <c r="AI905" s="150"/>
      <c r="AJ905" s="150"/>
      <c r="AK905" s="150"/>
      <c r="AL905" s="150"/>
      <c r="AM905" s="150"/>
      <c r="AN905" s="150"/>
      <c r="AO905" s="150"/>
      <c r="AP905" s="150"/>
      <c r="AQ905" s="150"/>
      <c r="AT905" s="186"/>
      <c r="AU905" s="186"/>
      <c r="AV905" s="186"/>
      <c r="AW905" s="186"/>
      <c r="AX905" s="186"/>
      <c r="AY905" s="186"/>
      <c r="AZ905" s="186"/>
      <c r="BA905" s="186"/>
      <c r="BB905" s="186"/>
      <c r="BC905" s="186"/>
      <c r="BD905" s="186"/>
      <c r="BE905" s="186"/>
      <c r="BF905" s="150"/>
      <c r="BG905" s="150"/>
    </row>
    <row r="906" spans="3:59" ht="14.6">
      <c r="C906" s="289"/>
      <c r="D906" s="150"/>
      <c r="E906" s="150"/>
      <c r="F906" s="150"/>
      <c r="G906" s="150"/>
      <c r="H906" s="150"/>
      <c r="I906" s="150"/>
      <c r="J906" s="150"/>
      <c r="K906" s="150"/>
      <c r="L906" s="150"/>
      <c r="M906" s="150"/>
      <c r="N906" s="150"/>
      <c r="O906" s="150"/>
      <c r="P906" s="150"/>
      <c r="Q906" s="150"/>
      <c r="R906" s="150"/>
      <c r="S906" s="150"/>
      <c r="T906" s="186"/>
      <c r="U906" s="186"/>
      <c r="V906" s="186"/>
      <c r="W906" s="186"/>
      <c r="X906" s="186"/>
      <c r="Y906" s="186"/>
      <c r="Z906" s="186"/>
      <c r="AA906" s="186"/>
      <c r="AB906" s="186"/>
      <c r="AC906" s="186"/>
      <c r="AD906" s="186"/>
      <c r="AF906" s="150"/>
      <c r="AG906" s="150"/>
      <c r="AH906" s="150"/>
      <c r="AI906" s="150"/>
      <c r="AJ906" s="150"/>
      <c r="AK906" s="150"/>
      <c r="AL906" s="150"/>
      <c r="AM906" s="150"/>
      <c r="AN906" s="150"/>
      <c r="AO906" s="150"/>
      <c r="AP906" s="150"/>
      <c r="AQ906" s="150"/>
      <c r="AT906" s="186"/>
      <c r="AU906" s="186"/>
      <c r="AV906" s="186"/>
      <c r="AW906" s="186"/>
      <c r="AX906" s="186"/>
      <c r="AY906" s="186"/>
      <c r="AZ906" s="186"/>
      <c r="BA906" s="186"/>
      <c r="BB906" s="186"/>
      <c r="BC906" s="186"/>
      <c r="BD906" s="186"/>
      <c r="BE906" s="186"/>
      <c r="BF906" s="150"/>
      <c r="BG906" s="150"/>
    </row>
    <row r="907" spans="3:59" ht="14.6">
      <c r="C907" s="289"/>
      <c r="D907" s="150"/>
      <c r="E907" s="150"/>
      <c r="F907" s="150"/>
      <c r="G907" s="150"/>
      <c r="H907" s="150"/>
      <c r="I907" s="150"/>
      <c r="J907" s="150"/>
      <c r="K907" s="150"/>
      <c r="L907" s="150"/>
      <c r="M907" s="150"/>
      <c r="N907" s="150"/>
      <c r="O907" s="150"/>
      <c r="P907" s="150"/>
      <c r="Q907" s="150"/>
      <c r="R907" s="150"/>
      <c r="S907" s="150"/>
      <c r="T907" s="186"/>
      <c r="U907" s="186"/>
      <c r="V907" s="186"/>
      <c r="W907" s="186"/>
      <c r="X907" s="186"/>
      <c r="Y907" s="186"/>
      <c r="Z907" s="186"/>
      <c r="AA907" s="186"/>
      <c r="AB907" s="186"/>
      <c r="AC907" s="186"/>
      <c r="AD907" s="186"/>
      <c r="AF907" s="150"/>
      <c r="AG907" s="150"/>
      <c r="AH907" s="150"/>
      <c r="AI907" s="150"/>
      <c r="AJ907" s="150"/>
      <c r="AK907" s="150"/>
      <c r="AL907" s="150"/>
      <c r="AM907" s="150"/>
      <c r="AN907" s="150"/>
      <c r="AO907" s="150"/>
      <c r="AP907" s="150"/>
      <c r="AQ907" s="150"/>
      <c r="AT907" s="186"/>
      <c r="AU907" s="186"/>
      <c r="AV907" s="186"/>
      <c r="AW907" s="186"/>
      <c r="AX907" s="186"/>
      <c r="AY907" s="186"/>
      <c r="AZ907" s="186"/>
      <c r="BA907" s="186"/>
      <c r="BB907" s="186"/>
      <c r="BC907" s="186"/>
      <c r="BD907" s="186"/>
      <c r="BE907" s="186"/>
      <c r="BF907" s="150"/>
      <c r="BG907" s="150"/>
    </row>
    <row r="908" spans="3:59" ht="14.6">
      <c r="C908" s="289"/>
      <c r="D908" s="150"/>
      <c r="E908" s="150"/>
      <c r="F908" s="150"/>
      <c r="G908" s="150"/>
      <c r="H908" s="150"/>
      <c r="I908" s="150"/>
      <c r="J908" s="150"/>
      <c r="K908" s="150"/>
      <c r="L908" s="150"/>
      <c r="M908" s="150"/>
      <c r="N908" s="150"/>
      <c r="O908" s="150"/>
      <c r="P908" s="150"/>
      <c r="Q908" s="150"/>
      <c r="R908" s="150"/>
      <c r="S908" s="150"/>
      <c r="T908" s="186"/>
      <c r="U908" s="186"/>
      <c r="V908" s="186"/>
      <c r="W908" s="186"/>
      <c r="X908" s="186"/>
      <c r="Y908" s="186"/>
      <c r="Z908" s="186"/>
      <c r="AA908" s="186"/>
      <c r="AB908" s="186"/>
      <c r="AC908" s="186"/>
      <c r="AD908" s="186"/>
      <c r="AF908" s="150"/>
      <c r="AG908" s="150"/>
      <c r="AH908" s="150"/>
      <c r="AI908" s="150"/>
      <c r="AJ908" s="150"/>
      <c r="AK908" s="150"/>
      <c r="AL908" s="150"/>
      <c r="AM908" s="150"/>
      <c r="AN908" s="150"/>
      <c r="AO908" s="150"/>
      <c r="AP908" s="150"/>
      <c r="AQ908" s="150"/>
      <c r="AT908" s="186"/>
      <c r="AU908" s="186"/>
      <c r="AV908" s="186"/>
      <c r="AW908" s="186"/>
      <c r="AX908" s="186"/>
      <c r="AY908" s="186"/>
      <c r="AZ908" s="186"/>
      <c r="BA908" s="186"/>
      <c r="BB908" s="186"/>
      <c r="BC908" s="186"/>
      <c r="BD908" s="186"/>
      <c r="BE908" s="186"/>
      <c r="BF908" s="150"/>
      <c r="BG908" s="150"/>
    </row>
    <row r="909" spans="3:59" ht="14.6">
      <c r="C909" s="289"/>
      <c r="D909" s="150"/>
      <c r="E909" s="150"/>
      <c r="F909" s="150"/>
      <c r="G909" s="150"/>
      <c r="H909" s="150"/>
      <c r="I909" s="150"/>
      <c r="J909" s="150"/>
      <c r="K909" s="150"/>
      <c r="L909" s="150"/>
      <c r="M909" s="150"/>
      <c r="N909" s="150"/>
      <c r="O909" s="150"/>
      <c r="P909" s="150"/>
      <c r="Q909" s="150"/>
      <c r="R909" s="150"/>
      <c r="S909" s="150"/>
      <c r="T909" s="186"/>
      <c r="U909" s="186"/>
      <c r="V909" s="186"/>
      <c r="W909" s="186"/>
      <c r="X909" s="186"/>
      <c r="Y909" s="186"/>
      <c r="Z909" s="186"/>
      <c r="AA909" s="186"/>
      <c r="AB909" s="186"/>
      <c r="AC909" s="186"/>
      <c r="AD909" s="186"/>
      <c r="AF909" s="150"/>
      <c r="AG909" s="150"/>
      <c r="AH909" s="150"/>
      <c r="AI909" s="150"/>
      <c r="AJ909" s="150"/>
      <c r="AK909" s="150"/>
      <c r="AL909" s="150"/>
      <c r="AM909" s="150"/>
      <c r="AN909" s="150"/>
      <c r="AO909" s="150"/>
      <c r="AP909" s="150"/>
      <c r="AQ909" s="150"/>
      <c r="AT909" s="186"/>
      <c r="AU909" s="186"/>
      <c r="AV909" s="186"/>
      <c r="AW909" s="186"/>
      <c r="AX909" s="186"/>
      <c r="AY909" s="186"/>
      <c r="AZ909" s="186"/>
      <c r="BA909" s="186"/>
      <c r="BB909" s="186"/>
      <c r="BC909" s="186"/>
      <c r="BD909" s="186"/>
      <c r="BE909" s="186"/>
      <c r="BF909" s="150"/>
      <c r="BG909" s="150"/>
    </row>
    <row r="910" spans="3:59" ht="14.6">
      <c r="C910" s="289"/>
      <c r="D910" s="150"/>
      <c r="E910" s="150"/>
      <c r="F910" s="150"/>
      <c r="G910" s="150"/>
      <c r="H910" s="150"/>
      <c r="I910" s="150"/>
      <c r="J910" s="150"/>
      <c r="K910" s="150"/>
      <c r="L910" s="150"/>
      <c r="M910" s="150"/>
      <c r="N910" s="150"/>
      <c r="O910" s="150"/>
      <c r="P910" s="150"/>
      <c r="Q910" s="150"/>
      <c r="R910" s="150"/>
      <c r="S910" s="150"/>
      <c r="T910" s="186"/>
      <c r="U910" s="186"/>
      <c r="V910" s="186"/>
      <c r="W910" s="186"/>
      <c r="X910" s="186"/>
      <c r="Y910" s="186"/>
      <c r="Z910" s="186"/>
      <c r="AA910" s="186"/>
      <c r="AB910" s="186"/>
      <c r="AC910" s="186"/>
      <c r="AD910" s="186"/>
      <c r="AF910" s="150"/>
      <c r="AG910" s="150"/>
      <c r="AH910" s="150"/>
      <c r="AI910" s="150"/>
      <c r="AJ910" s="150"/>
      <c r="AK910" s="150"/>
      <c r="AL910" s="150"/>
      <c r="AM910" s="150"/>
      <c r="AN910" s="150"/>
      <c r="AO910" s="150"/>
      <c r="AP910" s="150"/>
      <c r="AQ910" s="150"/>
      <c r="AT910" s="186"/>
      <c r="AU910" s="186"/>
      <c r="AV910" s="186"/>
      <c r="AW910" s="186"/>
      <c r="AX910" s="186"/>
      <c r="AY910" s="186"/>
      <c r="AZ910" s="186"/>
      <c r="BA910" s="186"/>
      <c r="BB910" s="186"/>
      <c r="BC910" s="186"/>
      <c r="BD910" s="186"/>
      <c r="BE910" s="186"/>
      <c r="BF910" s="150"/>
      <c r="BG910" s="150"/>
    </row>
    <row r="911" spans="3:59" ht="14.6">
      <c r="C911" s="289"/>
      <c r="D911" s="150"/>
      <c r="E911" s="150"/>
      <c r="F911" s="150"/>
      <c r="G911" s="150"/>
      <c r="H911" s="150"/>
      <c r="I911" s="150"/>
      <c r="J911" s="150"/>
      <c r="K911" s="150"/>
      <c r="L911" s="150"/>
      <c r="M911" s="150"/>
      <c r="N911" s="150"/>
      <c r="O911" s="150"/>
      <c r="P911" s="150"/>
      <c r="Q911" s="150"/>
      <c r="R911" s="150"/>
      <c r="S911" s="150"/>
      <c r="T911" s="186"/>
      <c r="U911" s="186"/>
      <c r="V911" s="186"/>
      <c r="W911" s="186"/>
      <c r="X911" s="186"/>
      <c r="Y911" s="186"/>
      <c r="Z911" s="186"/>
      <c r="AA911" s="186"/>
      <c r="AB911" s="186"/>
      <c r="AC911" s="186"/>
      <c r="AD911" s="186"/>
      <c r="AF911" s="150"/>
      <c r="AG911" s="150"/>
      <c r="AH911" s="150"/>
      <c r="AI911" s="150"/>
      <c r="AJ911" s="150"/>
      <c r="AK911" s="150"/>
      <c r="AL911" s="150"/>
      <c r="AM911" s="150"/>
      <c r="AN911" s="150"/>
      <c r="AO911" s="150"/>
      <c r="AP911" s="150"/>
      <c r="AQ911" s="150"/>
      <c r="AT911" s="186"/>
      <c r="AU911" s="186"/>
      <c r="AV911" s="186"/>
      <c r="AW911" s="186"/>
      <c r="AX911" s="186"/>
      <c r="AY911" s="186"/>
      <c r="AZ911" s="186"/>
      <c r="BA911" s="186"/>
      <c r="BB911" s="186"/>
      <c r="BC911" s="186"/>
      <c r="BD911" s="186"/>
      <c r="BE911" s="186"/>
      <c r="BF911" s="150"/>
      <c r="BG911" s="150"/>
    </row>
    <row r="912" spans="3:59" ht="14.6">
      <c r="C912" s="289"/>
      <c r="D912" s="150"/>
      <c r="E912" s="150"/>
      <c r="F912" s="150"/>
      <c r="G912" s="150"/>
      <c r="H912" s="150"/>
      <c r="I912" s="150"/>
      <c r="J912" s="150"/>
      <c r="K912" s="150"/>
      <c r="L912" s="150"/>
      <c r="M912" s="150"/>
      <c r="N912" s="150"/>
      <c r="O912" s="150"/>
      <c r="P912" s="150"/>
      <c r="Q912" s="150"/>
      <c r="R912" s="150"/>
      <c r="S912" s="150"/>
      <c r="T912" s="186"/>
      <c r="U912" s="186"/>
      <c r="V912" s="186"/>
      <c r="W912" s="186"/>
      <c r="X912" s="186"/>
      <c r="Y912" s="186"/>
      <c r="Z912" s="186"/>
      <c r="AA912" s="186"/>
      <c r="AB912" s="186"/>
      <c r="AC912" s="186"/>
      <c r="AD912" s="186"/>
      <c r="AF912" s="150"/>
      <c r="AG912" s="150"/>
      <c r="AH912" s="150"/>
      <c r="AI912" s="150"/>
      <c r="AJ912" s="150"/>
      <c r="AK912" s="150"/>
      <c r="AL912" s="150"/>
      <c r="AM912" s="150"/>
      <c r="AN912" s="150"/>
      <c r="AO912" s="150"/>
      <c r="AP912" s="150"/>
      <c r="AQ912" s="150"/>
      <c r="AT912" s="186"/>
      <c r="AU912" s="186"/>
      <c r="AV912" s="186"/>
      <c r="AW912" s="186"/>
      <c r="AX912" s="186"/>
      <c r="AY912" s="186"/>
      <c r="AZ912" s="186"/>
      <c r="BA912" s="186"/>
      <c r="BB912" s="186"/>
      <c r="BC912" s="186"/>
      <c r="BD912" s="186"/>
      <c r="BE912" s="186"/>
      <c r="BF912" s="150"/>
      <c r="BG912" s="150"/>
    </row>
    <row r="913" spans="3:59" ht="14.6">
      <c r="C913" s="289"/>
      <c r="D913" s="150"/>
      <c r="E913" s="150"/>
      <c r="F913" s="150"/>
      <c r="G913" s="150"/>
      <c r="H913" s="150"/>
      <c r="I913" s="150"/>
      <c r="J913" s="150"/>
      <c r="K913" s="150"/>
      <c r="L913" s="150"/>
      <c r="M913" s="150"/>
      <c r="N913" s="150"/>
      <c r="O913" s="150"/>
      <c r="P913" s="150"/>
      <c r="Q913" s="150"/>
      <c r="R913" s="150"/>
      <c r="S913" s="150"/>
      <c r="T913" s="186"/>
      <c r="U913" s="186"/>
      <c r="V913" s="186"/>
      <c r="W913" s="186"/>
      <c r="X913" s="186"/>
      <c r="Y913" s="186"/>
      <c r="Z913" s="186"/>
      <c r="AA913" s="186"/>
      <c r="AB913" s="186"/>
      <c r="AC913" s="186"/>
      <c r="AD913" s="186"/>
      <c r="AF913" s="150"/>
      <c r="AG913" s="150"/>
      <c r="AH913" s="150"/>
      <c r="AI913" s="150"/>
      <c r="AJ913" s="150"/>
      <c r="AK913" s="150"/>
      <c r="AL913" s="150"/>
      <c r="AM913" s="150"/>
      <c r="AN913" s="150"/>
      <c r="AO913" s="150"/>
      <c r="AP913" s="150"/>
      <c r="AQ913" s="150"/>
      <c r="AT913" s="186"/>
      <c r="AU913" s="186"/>
      <c r="AV913" s="186"/>
      <c r="AW913" s="186"/>
      <c r="AX913" s="186"/>
      <c r="AY913" s="186"/>
      <c r="AZ913" s="186"/>
      <c r="BA913" s="186"/>
      <c r="BB913" s="186"/>
      <c r="BC913" s="186"/>
      <c r="BD913" s="186"/>
      <c r="BE913" s="186"/>
      <c r="BF913" s="150"/>
      <c r="BG913" s="150"/>
    </row>
    <row r="914" spans="3:59" ht="14.6">
      <c r="C914" s="289"/>
      <c r="D914" s="150"/>
      <c r="E914" s="150"/>
      <c r="F914" s="150"/>
      <c r="G914" s="150"/>
      <c r="H914" s="150"/>
      <c r="I914" s="150"/>
      <c r="J914" s="150"/>
      <c r="K914" s="150"/>
      <c r="L914" s="150"/>
      <c r="M914" s="150"/>
      <c r="N914" s="150"/>
      <c r="O914" s="150"/>
      <c r="P914" s="150"/>
      <c r="Q914" s="150"/>
      <c r="R914" s="150"/>
      <c r="S914" s="150"/>
      <c r="T914" s="186"/>
      <c r="U914" s="186"/>
      <c r="V914" s="186"/>
      <c r="W914" s="186"/>
      <c r="X914" s="186"/>
      <c r="Y914" s="186"/>
      <c r="Z914" s="186"/>
      <c r="AA914" s="186"/>
      <c r="AB914" s="186"/>
      <c r="AC914" s="186"/>
      <c r="AD914" s="186"/>
      <c r="AF914" s="150"/>
      <c r="AG914" s="150"/>
      <c r="AH914" s="150"/>
      <c r="AI914" s="150"/>
      <c r="AJ914" s="150"/>
      <c r="AK914" s="150"/>
      <c r="AL914" s="150"/>
      <c r="AM914" s="150"/>
      <c r="AN914" s="150"/>
      <c r="AO914" s="150"/>
      <c r="AP914" s="150"/>
      <c r="AQ914" s="150"/>
      <c r="AT914" s="186"/>
      <c r="AU914" s="186"/>
      <c r="AV914" s="186"/>
      <c r="AW914" s="186"/>
      <c r="AX914" s="186"/>
      <c r="AY914" s="186"/>
      <c r="AZ914" s="186"/>
      <c r="BA914" s="186"/>
      <c r="BB914" s="186"/>
      <c r="BC914" s="186"/>
      <c r="BD914" s="186"/>
      <c r="BE914" s="186"/>
      <c r="BF914" s="150"/>
      <c r="BG914" s="150"/>
    </row>
    <row r="915" spans="3:59" ht="14.6">
      <c r="C915" s="289"/>
      <c r="D915" s="150"/>
      <c r="E915" s="150"/>
      <c r="F915" s="150"/>
      <c r="G915" s="150"/>
      <c r="H915" s="150"/>
      <c r="I915" s="150"/>
      <c r="J915" s="150"/>
      <c r="K915" s="150"/>
      <c r="L915" s="150"/>
      <c r="M915" s="150"/>
      <c r="N915" s="150"/>
      <c r="O915" s="150"/>
      <c r="P915" s="150"/>
      <c r="Q915" s="150"/>
      <c r="R915" s="150"/>
      <c r="S915" s="150"/>
      <c r="T915" s="186"/>
      <c r="U915" s="186"/>
      <c r="V915" s="186"/>
      <c r="W915" s="186"/>
      <c r="X915" s="186"/>
      <c r="Y915" s="186"/>
      <c r="Z915" s="186"/>
      <c r="AA915" s="186"/>
      <c r="AB915" s="186"/>
      <c r="AC915" s="186"/>
      <c r="AD915" s="186"/>
      <c r="AF915" s="150"/>
      <c r="AG915" s="150"/>
      <c r="AH915" s="150"/>
      <c r="AI915" s="150"/>
      <c r="AJ915" s="150"/>
      <c r="AK915" s="150"/>
      <c r="AL915" s="150"/>
      <c r="AM915" s="150"/>
      <c r="AN915" s="150"/>
      <c r="AO915" s="150"/>
      <c r="AP915" s="150"/>
      <c r="AQ915" s="150"/>
      <c r="AT915" s="186"/>
      <c r="AU915" s="186"/>
      <c r="AV915" s="186"/>
      <c r="AW915" s="186"/>
      <c r="AX915" s="186"/>
      <c r="AY915" s="186"/>
      <c r="AZ915" s="186"/>
      <c r="BA915" s="186"/>
      <c r="BB915" s="186"/>
      <c r="BC915" s="186"/>
      <c r="BD915" s="186"/>
      <c r="BE915" s="186"/>
      <c r="BF915" s="150"/>
      <c r="BG915" s="150"/>
    </row>
    <row r="916" spans="3:59" ht="14.6">
      <c r="C916" s="289"/>
      <c r="D916" s="150"/>
      <c r="E916" s="150"/>
      <c r="F916" s="150"/>
      <c r="G916" s="150"/>
      <c r="H916" s="150"/>
      <c r="I916" s="150"/>
      <c r="J916" s="150"/>
      <c r="K916" s="150"/>
      <c r="L916" s="150"/>
      <c r="M916" s="150"/>
      <c r="N916" s="150"/>
      <c r="O916" s="150"/>
      <c r="P916" s="150"/>
      <c r="Q916" s="150"/>
      <c r="R916" s="150"/>
      <c r="S916" s="150"/>
      <c r="T916" s="186"/>
      <c r="U916" s="186"/>
      <c r="V916" s="186"/>
      <c r="W916" s="186"/>
      <c r="X916" s="186"/>
      <c r="Y916" s="186"/>
      <c r="Z916" s="186"/>
      <c r="AA916" s="186"/>
      <c r="AB916" s="186"/>
      <c r="AC916" s="186"/>
      <c r="AD916" s="186"/>
      <c r="AF916" s="150"/>
      <c r="AG916" s="150"/>
      <c r="AH916" s="150"/>
      <c r="AI916" s="150"/>
      <c r="AJ916" s="150"/>
      <c r="AK916" s="150"/>
      <c r="AL916" s="150"/>
      <c r="AM916" s="150"/>
      <c r="AN916" s="150"/>
      <c r="AO916" s="150"/>
      <c r="AP916" s="150"/>
      <c r="AQ916" s="150"/>
      <c r="AT916" s="186"/>
      <c r="AU916" s="186"/>
      <c r="AV916" s="186"/>
      <c r="AW916" s="186"/>
      <c r="AX916" s="186"/>
      <c r="AY916" s="186"/>
      <c r="AZ916" s="186"/>
      <c r="BA916" s="186"/>
      <c r="BB916" s="186"/>
      <c r="BC916" s="186"/>
      <c r="BD916" s="186"/>
      <c r="BE916" s="186"/>
      <c r="BF916" s="150"/>
      <c r="BG916" s="150"/>
    </row>
    <row r="917" spans="3:59" ht="14.6">
      <c r="C917" s="289"/>
      <c r="D917" s="150"/>
      <c r="E917" s="150"/>
      <c r="F917" s="150"/>
      <c r="G917" s="150"/>
      <c r="H917" s="150"/>
      <c r="I917" s="150"/>
      <c r="J917" s="150"/>
      <c r="K917" s="150"/>
      <c r="L917" s="150"/>
      <c r="M917" s="150"/>
      <c r="N917" s="150"/>
      <c r="O917" s="150"/>
      <c r="P917" s="150"/>
      <c r="Q917" s="150"/>
      <c r="R917" s="150"/>
      <c r="S917" s="150"/>
      <c r="T917" s="186"/>
      <c r="U917" s="186"/>
      <c r="V917" s="186"/>
      <c r="W917" s="186"/>
      <c r="X917" s="186"/>
      <c r="Y917" s="186"/>
      <c r="Z917" s="186"/>
      <c r="AA917" s="186"/>
      <c r="AB917" s="186"/>
      <c r="AC917" s="186"/>
      <c r="AD917" s="186"/>
      <c r="AF917" s="150"/>
      <c r="AG917" s="150"/>
      <c r="AH917" s="150"/>
      <c r="AI917" s="150"/>
      <c r="AJ917" s="150"/>
      <c r="AK917" s="150"/>
      <c r="AL917" s="150"/>
      <c r="AM917" s="150"/>
      <c r="AN917" s="150"/>
      <c r="AO917" s="150"/>
      <c r="AP917" s="150"/>
      <c r="AQ917" s="150"/>
      <c r="AT917" s="186"/>
      <c r="AU917" s="186"/>
      <c r="AV917" s="186"/>
      <c r="AW917" s="186"/>
      <c r="AX917" s="186"/>
      <c r="AY917" s="186"/>
      <c r="AZ917" s="186"/>
      <c r="BA917" s="186"/>
      <c r="BB917" s="186"/>
      <c r="BC917" s="186"/>
      <c r="BD917" s="186"/>
      <c r="BE917" s="186"/>
      <c r="BF917" s="150"/>
      <c r="BG917" s="150"/>
    </row>
    <row r="918" spans="3:59" ht="14.6">
      <c r="C918" s="289"/>
      <c r="D918" s="150"/>
      <c r="E918" s="150"/>
      <c r="F918" s="150"/>
      <c r="G918" s="150"/>
      <c r="H918" s="150"/>
      <c r="I918" s="150"/>
      <c r="J918" s="150"/>
      <c r="K918" s="150"/>
      <c r="L918" s="150"/>
      <c r="M918" s="150"/>
      <c r="N918" s="150"/>
      <c r="O918" s="150"/>
      <c r="P918" s="150"/>
      <c r="Q918" s="150"/>
      <c r="R918" s="150"/>
      <c r="S918" s="150"/>
      <c r="T918" s="186"/>
      <c r="U918" s="186"/>
      <c r="V918" s="186"/>
      <c r="W918" s="186"/>
      <c r="X918" s="186"/>
      <c r="Y918" s="186"/>
      <c r="Z918" s="186"/>
      <c r="AA918" s="186"/>
      <c r="AB918" s="186"/>
      <c r="AC918" s="186"/>
      <c r="AD918" s="186"/>
      <c r="AF918" s="150"/>
      <c r="AG918" s="150"/>
      <c r="AH918" s="150"/>
      <c r="AI918" s="150"/>
      <c r="AJ918" s="150"/>
      <c r="AK918" s="150"/>
      <c r="AL918" s="150"/>
      <c r="AM918" s="150"/>
      <c r="AN918" s="150"/>
      <c r="AO918" s="150"/>
      <c r="AP918" s="150"/>
      <c r="AQ918" s="150"/>
      <c r="AT918" s="186"/>
      <c r="AU918" s="186"/>
      <c r="AV918" s="186"/>
      <c r="AW918" s="186"/>
      <c r="AX918" s="186"/>
      <c r="AY918" s="186"/>
      <c r="AZ918" s="186"/>
      <c r="BA918" s="186"/>
      <c r="BB918" s="186"/>
      <c r="BC918" s="186"/>
      <c r="BD918" s="186"/>
      <c r="BE918" s="186"/>
      <c r="BF918" s="150"/>
      <c r="BG918" s="150"/>
    </row>
    <row r="919" spans="3:59" ht="14.6">
      <c r="C919" s="289"/>
      <c r="D919" s="150"/>
      <c r="E919" s="150"/>
      <c r="F919" s="150"/>
      <c r="G919" s="150"/>
      <c r="H919" s="150"/>
      <c r="I919" s="150"/>
      <c r="J919" s="150"/>
      <c r="K919" s="150"/>
      <c r="L919" s="150"/>
      <c r="M919" s="150"/>
      <c r="N919" s="150"/>
      <c r="O919" s="150"/>
      <c r="P919" s="150"/>
      <c r="Q919" s="150"/>
      <c r="R919" s="150"/>
      <c r="S919" s="150"/>
      <c r="T919" s="186"/>
      <c r="U919" s="186"/>
      <c r="V919" s="186"/>
      <c r="W919" s="186"/>
      <c r="X919" s="186"/>
      <c r="Y919" s="186"/>
      <c r="Z919" s="186"/>
      <c r="AA919" s="186"/>
      <c r="AB919" s="186"/>
      <c r="AC919" s="186"/>
      <c r="AD919" s="186"/>
      <c r="AF919" s="150"/>
      <c r="AG919" s="150"/>
      <c r="AH919" s="150"/>
      <c r="AI919" s="150"/>
      <c r="AJ919" s="150"/>
      <c r="AK919" s="150"/>
      <c r="AL919" s="150"/>
      <c r="AM919" s="150"/>
      <c r="AN919" s="150"/>
      <c r="AO919" s="150"/>
      <c r="AP919" s="150"/>
      <c r="AQ919" s="150"/>
      <c r="AT919" s="186"/>
      <c r="AU919" s="186"/>
      <c r="AV919" s="186"/>
      <c r="AW919" s="186"/>
      <c r="AX919" s="186"/>
      <c r="AY919" s="186"/>
      <c r="AZ919" s="186"/>
      <c r="BA919" s="186"/>
      <c r="BB919" s="186"/>
      <c r="BC919" s="186"/>
      <c r="BD919" s="186"/>
      <c r="BE919" s="186"/>
      <c r="BF919" s="150"/>
      <c r="BG919" s="150"/>
    </row>
    <row r="920" spans="3:59" ht="14.6">
      <c r="C920" s="289"/>
      <c r="D920" s="150"/>
      <c r="E920" s="150"/>
      <c r="F920" s="150"/>
      <c r="G920" s="150"/>
      <c r="H920" s="150"/>
      <c r="I920" s="150"/>
      <c r="J920" s="150"/>
      <c r="K920" s="150"/>
      <c r="L920" s="150"/>
      <c r="M920" s="150"/>
      <c r="N920" s="150"/>
      <c r="O920" s="150"/>
      <c r="P920" s="150"/>
      <c r="Q920" s="150"/>
      <c r="R920" s="150"/>
      <c r="S920" s="150"/>
      <c r="T920" s="186"/>
      <c r="U920" s="186"/>
      <c r="V920" s="186"/>
      <c r="W920" s="186"/>
      <c r="X920" s="186"/>
      <c r="Y920" s="186"/>
      <c r="Z920" s="186"/>
      <c r="AA920" s="186"/>
      <c r="AB920" s="186"/>
      <c r="AC920" s="186"/>
      <c r="AD920" s="186"/>
      <c r="AF920" s="150"/>
      <c r="AG920" s="150"/>
      <c r="AH920" s="150"/>
      <c r="AI920" s="150"/>
      <c r="AJ920" s="150"/>
      <c r="AK920" s="150"/>
      <c r="AL920" s="150"/>
      <c r="AM920" s="150"/>
      <c r="AN920" s="150"/>
      <c r="AO920" s="150"/>
      <c r="AP920" s="150"/>
      <c r="AQ920" s="150"/>
      <c r="AT920" s="186"/>
      <c r="AU920" s="186"/>
      <c r="AV920" s="186"/>
      <c r="AW920" s="186"/>
      <c r="AX920" s="186"/>
      <c r="AY920" s="186"/>
      <c r="AZ920" s="186"/>
      <c r="BA920" s="186"/>
      <c r="BB920" s="186"/>
      <c r="BC920" s="186"/>
      <c r="BD920" s="186"/>
      <c r="BE920" s="186"/>
      <c r="BF920" s="150"/>
      <c r="BG920" s="150"/>
    </row>
    <row r="921" spans="3:59" ht="14.6">
      <c r="C921" s="289"/>
      <c r="D921" s="150"/>
      <c r="E921" s="150"/>
      <c r="F921" s="150"/>
      <c r="G921" s="150"/>
      <c r="H921" s="150"/>
      <c r="I921" s="150"/>
      <c r="J921" s="150"/>
      <c r="K921" s="150"/>
      <c r="L921" s="150"/>
      <c r="M921" s="150"/>
      <c r="N921" s="150"/>
      <c r="O921" s="150"/>
      <c r="P921" s="150"/>
      <c r="Q921" s="150"/>
      <c r="R921" s="150"/>
      <c r="S921" s="150"/>
      <c r="T921" s="186"/>
      <c r="U921" s="186"/>
      <c r="V921" s="186"/>
      <c r="W921" s="186"/>
      <c r="X921" s="186"/>
      <c r="Y921" s="186"/>
      <c r="Z921" s="186"/>
      <c r="AA921" s="186"/>
      <c r="AB921" s="186"/>
      <c r="AC921" s="186"/>
      <c r="AD921" s="186"/>
      <c r="AF921" s="150"/>
      <c r="AG921" s="150"/>
      <c r="AH921" s="150"/>
      <c r="AI921" s="150"/>
      <c r="AJ921" s="150"/>
      <c r="AK921" s="150"/>
      <c r="AL921" s="150"/>
      <c r="AM921" s="150"/>
      <c r="AN921" s="150"/>
      <c r="AO921" s="150"/>
      <c r="AP921" s="150"/>
      <c r="AQ921" s="150"/>
      <c r="AT921" s="186"/>
      <c r="AU921" s="186"/>
      <c r="AV921" s="186"/>
      <c r="AW921" s="186"/>
      <c r="AX921" s="186"/>
      <c r="AY921" s="186"/>
      <c r="AZ921" s="186"/>
      <c r="BA921" s="186"/>
      <c r="BB921" s="186"/>
      <c r="BC921" s="186"/>
      <c r="BD921" s="186"/>
      <c r="BE921" s="186"/>
      <c r="BF921" s="150"/>
      <c r="BG921" s="150"/>
    </row>
    <row r="922" spans="3:59" ht="14.6">
      <c r="C922" s="289"/>
      <c r="D922" s="150"/>
      <c r="E922" s="150"/>
      <c r="F922" s="150"/>
      <c r="G922" s="150"/>
      <c r="H922" s="150"/>
      <c r="I922" s="150"/>
      <c r="J922" s="150"/>
      <c r="K922" s="150"/>
      <c r="L922" s="150"/>
      <c r="M922" s="150"/>
      <c r="N922" s="150"/>
      <c r="O922" s="150"/>
      <c r="P922" s="150"/>
      <c r="Q922" s="150"/>
      <c r="R922" s="150"/>
      <c r="S922" s="150"/>
      <c r="T922" s="186"/>
      <c r="U922" s="186"/>
      <c r="V922" s="186"/>
      <c r="W922" s="186"/>
      <c r="X922" s="186"/>
      <c r="Y922" s="186"/>
      <c r="Z922" s="186"/>
      <c r="AA922" s="186"/>
      <c r="AB922" s="186"/>
      <c r="AC922" s="186"/>
      <c r="AD922" s="186"/>
      <c r="AF922" s="150"/>
      <c r="AG922" s="150"/>
      <c r="AH922" s="150"/>
      <c r="AI922" s="150"/>
      <c r="AJ922" s="150"/>
      <c r="AK922" s="150"/>
      <c r="AL922" s="150"/>
      <c r="AM922" s="150"/>
      <c r="AN922" s="150"/>
      <c r="AO922" s="150"/>
      <c r="AP922" s="150"/>
      <c r="AQ922" s="150"/>
      <c r="AT922" s="186"/>
      <c r="AU922" s="186"/>
      <c r="AV922" s="186"/>
      <c r="AW922" s="186"/>
      <c r="AX922" s="186"/>
      <c r="AY922" s="186"/>
      <c r="AZ922" s="186"/>
      <c r="BA922" s="186"/>
      <c r="BB922" s="186"/>
      <c r="BC922" s="186"/>
      <c r="BD922" s="186"/>
      <c r="BE922" s="186"/>
      <c r="BF922" s="150"/>
      <c r="BG922" s="150"/>
    </row>
    <row r="923" spans="3:59" ht="14.6">
      <c r="C923" s="289"/>
      <c r="D923" s="150"/>
      <c r="E923" s="150"/>
      <c r="F923" s="150"/>
      <c r="G923" s="150"/>
      <c r="H923" s="150"/>
      <c r="I923" s="150"/>
      <c r="J923" s="150"/>
      <c r="K923" s="150"/>
      <c r="L923" s="150"/>
      <c r="M923" s="150"/>
      <c r="N923" s="150"/>
      <c r="O923" s="150"/>
      <c r="P923" s="150"/>
      <c r="Q923" s="150"/>
      <c r="R923" s="150"/>
      <c r="S923" s="150"/>
      <c r="T923" s="186"/>
      <c r="U923" s="186"/>
      <c r="V923" s="186"/>
      <c r="W923" s="186"/>
      <c r="X923" s="186"/>
      <c r="Y923" s="186"/>
      <c r="Z923" s="186"/>
      <c r="AA923" s="186"/>
      <c r="AB923" s="186"/>
      <c r="AC923" s="186"/>
      <c r="AD923" s="186"/>
      <c r="AF923" s="150"/>
      <c r="AG923" s="150"/>
      <c r="AH923" s="150"/>
      <c r="AI923" s="150"/>
      <c r="AJ923" s="150"/>
      <c r="AK923" s="150"/>
      <c r="AL923" s="150"/>
      <c r="AM923" s="150"/>
      <c r="AN923" s="150"/>
      <c r="AO923" s="150"/>
      <c r="AP923" s="150"/>
      <c r="AQ923" s="150"/>
      <c r="AT923" s="186"/>
      <c r="AU923" s="186"/>
      <c r="AV923" s="186"/>
      <c r="AW923" s="186"/>
      <c r="AX923" s="186"/>
      <c r="AY923" s="186"/>
      <c r="AZ923" s="186"/>
      <c r="BA923" s="186"/>
      <c r="BB923" s="186"/>
      <c r="BC923" s="186"/>
      <c r="BD923" s="186"/>
      <c r="BE923" s="186"/>
      <c r="BF923" s="150"/>
      <c r="BG923" s="150"/>
    </row>
    <row r="924" spans="3:59" ht="14.6">
      <c r="C924" s="289"/>
      <c r="D924" s="150"/>
      <c r="E924" s="150"/>
      <c r="F924" s="150"/>
      <c r="G924" s="150"/>
      <c r="H924" s="150"/>
      <c r="I924" s="150"/>
      <c r="J924" s="150"/>
      <c r="K924" s="150"/>
      <c r="L924" s="150"/>
      <c r="M924" s="150"/>
      <c r="N924" s="150"/>
      <c r="O924" s="150"/>
      <c r="P924" s="150"/>
      <c r="Q924" s="150"/>
      <c r="R924" s="150"/>
      <c r="S924" s="150"/>
      <c r="T924" s="186"/>
      <c r="U924" s="186"/>
      <c r="V924" s="186"/>
      <c r="W924" s="186"/>
      <c r="X924" s="186"/>
      <c r="Y924" s="186"/>
      <c r="Z924" s="186"/>
      <c r="AA924" s="186"/>
      <c r="AB924" s="186"/>
      <c r="AC924" s="186"/>
      <c r="AD924" s="186"/>
      <c r="AF924" s="150"/>
      <c r="AG924" s="150"/>
      <c r="AH924" s="150"/>
      <c r="AI924" s="150"/>
      <c r="AJ924" s="150"/>
      <c r="AK924" s="150"/>
      <c r="AL924" s="150"/>
      <c r="AM924" s="150"/>
      <c r="AN924" s="150"/>
      <c r="AO924" s="150"/>
      <c r="AP924" s="150"/>
      <c r="AQ924" s="150"/>
      <c r="AT924" s="186"/>
      <c r="AU924" s="186"/>
      <c r="AV924" s="186"/>
      <c r="AW924" s="186"/>
      <c r="AX924" s="186"/>
      <c r="AY924" s="186"/>
      <c r="AZ924" s="186"/>
      <c r="BA924" s="186"/>
      <c r="BB924" s="186"/>
      <c r="BC924" s="186"/>
      <c r="BD924" s="186"/>
      <c r="BE924" s="186"/>
      <c r="BF924" s="150"/>
      <c r="BG924" s="150"/>
    </row>
    <row r="925" spans="3:59" ht="14.6">
      <c r="C925" s="289"/>
      <c r="D925" s="150"/>
      <c r="E925" s="150"/>
      <c r="F925" s="150"/>
      <c r="G925" s="150"/>
      <c r="H925" s="150"/>
      <c r="I925" s="150"/>
      <c r="J925" s="150"/>
      <c r="K925" s="150"/>
      <c r="L925" s="150"/>
      <c r="M925" s="150"/>
      <c r="N925" s="150"/>
      <c r="O925" s="150"/>
      <c r="P925" s="150"/>
      <c r="Q925" s="150"/>
      <c r="R925" s="150"/>
      <c r="S925" s="150"/>
      <c r="T925" s="186"/>
      <c r="U925" s="186"/>
      <c r="V925" s="186"/>
      <c r="W925" s="186"/>
      <c r="X925" s="186"/>
      <c r="Y925" s="186"/>
      <c r="Z925" s="186"/>
      <c r="AA925" s="186"/>
      <c r="AB925" s="186"/>
      <c r="AC925" s="186"/>
      <c r="AD925" s="186"/>
      <c r="AF925" s="150"/>
      <c r="AG925" s="150"/>
      <c r="AH925" s="150"/>
      <c r="AI925" s="150"/>
      <c r="AJ925" s="150"/>
      <c r="AK925" s="150"/>
      <c r="AL925" s="150"/>
      <c r="AM925" s="150"/>
      <c r="AN925" s="150"/>
      <c r="AO925" s="150"/>
      <c r="AP925" s="150"/>
      <c r="AQ925" s="150"/>
      <c r="AT925" s="186"/>
      <c r="AU925" s="186"/>
      <c r="AV925" s="186"/>
      <c r="AW925" s="186"/>
      <c r="AX925" s="186"/>
      <c r="AY925" s="186"/>
      <c r="AZ925" s="186"/>
      <c r="BA925" s="186"/>
      <c r="BB925" s="186"/>
      <c r="BC925" s="186"/>
      <c r="BD925" s="186"/>
      <c r="BE925" s="186"/>
      <c r="BF925" s="150"/>
      <c r="BG925" s="150"/>
    </row>
    <row r="926" spans="3:59" ht="14.6">
      <c r="C926" s="289"/>
      <c r="D926" s="150"/>
      <c r="E926" s="150"/>
      <c r="F926" s="150"/>
      <c r="G926" s="150"/>
      <c r="H926" s="150"/>
      <c r="I926" s="150"/>
      <c r="J926" s="150"/>
      <c r="K926" s="150"/>
      <c r="L926" s="150"/>
      <c r="M926" s="150"/>
      <c r="N926" s="150"/>
      <c r="O926" s="150"/>
      <c r="P926" s="150"/>
      <c r="Q926" s="150"/>
      <c r="R926" s="150"/>
      <c r="S926" s="150"/>
      <c r="T926" s="186"/>
      <c r="U926" s="186"/>
      <c r="V926" s="186"/>
      <c r="W926" s="186"/>
      <c r="X926" s="186"/>
      <c r="Y926" s="186"/>
      <c r="Z926" s="186"/>
      <c r="AA926" s="186"/>
      <c r="AB926" s="186"/>
      <c r="AC926" s="186"/>
      <c r="AD926" s="186"/>
      <c r="AF926" s="150"/>
      <c r="AG926" s="150"/>
      <c r="AH926" s="150"/>
      <c r="AI926" s="150"/>
      <c r="AJ926" s="150"/>
      <c r="AK926" s="150"/>
      <c r="AL926" s="150"/>
      <c r="AM926" s="150"/>
      <c r="AN926" s="150"/>
      <c r="AO926" s="150"/>
      <c r="AP926" s="150"/>
      <c r="AQ926" s="150"/>
      <c r="AT926" s="186"/>
      <c r="AU926" s="186"/>
      <c r="AV926" s="186"/>
      <c r="AW926" s="186"/>
      <c r="AX926" s="186"/>
      <c r="AY926" s="186"/>
      <c r="AZ926" s="186"/>
      <c r="BA926" s="186"/>
      <c r="BB926" s="186"/>
      <c r="BC926" s="186"/>
      <c r="BD926" s="186"/>
      <c r="BE926" s="186"/>
      <c r="BF926" s="150"/>
      <c r="BG926" s="150"/>
    </row>
    <row r="927" spans="3:59" ht="14.6">
      <c r="C927" s="289"/>
      <c r="D927" s="150"/>
      <c r="E927" s="150"/>
      <c r="F927" s="150"/>
      <c r="G927" s="150"/>
      <c r="H927" s="150"/>
      <c r="I927" s="150"/>
      <c r="J927" s="150"/>
      <c r="K927" s="150"/>
      <c r="L927" s="150"/>
      <c r="M927" s="150"/>
      <c r="N927" s="150"/>
      <c r="O927" s="150"/>
      <c r="P927" s="150"/>
      <c r="Q927" s="150"/>
      <c r="R927" s="150"/>
      <c r="S927" s="150"/>
      <c r="T927" s="186"/>
      <c r="U927" s="186"/>
      <c r="V927" s="186"/>
      <c r="W927" s="186"/>
      <c r="X927" s="186"/>
      <c r="Y927" s="186"/>
      <c r="Z927" s="186"/>
      <c r="AA927" s="186"/>
      <c r="AB927" s="186"/>
      <c r="AC927" s="186"/>
      <c r="AD927" s="186"/>
      <c r="AF927" s="150"/>
      <c r="AG927" s="150"/>
      <c r="AH927" s="150"/>
      <c r="AI927" s="150"/>
      <c r="AJ927" s="150"/>
      <c r="AK927" s="150"/>
      <c r="AL927" s="150"/>
      <c r="AM927" s="150"/>
      <c r="AN927" s="150"/>
      <c r="AO927" s="150"/>
      <c r="AP927" s="150"/>
      <c r="AQ927" s="150"/>
      <c r="AT927" s="186"/>
      <c r="AU927" s="186"/>
      <c r="AV927" s="186"/>
      <c r="AW927" s="186"/>
      <c r="AX927" s="186"/>
      <c r="AY927" s="186"/>
      <c r="AZ927" s="186"/>
      <c r="BA927" s="186"/>
      <c r="BB927" s="186"/>
      <c r="BC927" s="186"/>
      <c r="BD927" s="186"/>
      <c r="BE927" s="186"/>
      <c r="BF927" s="150"/>
      <c r="BG927" s="150"/>
    </row>
    <row r="928" spans="3:59" ht="14.6">
      <c r="C928" s="289"/>
      <c r="D928" s="150"/>
      <c r="E928" s="150"/>
      <c r="F928" s="150"/>
      <c r="G928" s="150"/>
      <c r="H928" s="150"/>
      <c r="I928" s="150"/>
      <c r="J928" s="150"/>
      <c r="K928" s="150"/>
      <c r="L928" s="150"/>
      <c r="M928" s="150"/>
      <c r="N928" s="150"/>
      <c r="O928" s="150"/>
      <c r="P928" s="150"/>
      <c r="Q928" s="150"/>
      <c r="R928" s="150"/>
      <c r="S928" s="150"/>
      <c r="T928" s="186"/>
      <c r="U928" s="186"/>
      <c r="V928" s="186"/>
      <c r="W928" s="186"/>
      <c r="X928" s="186"/>
      <c r="Y928" s="186"/>
      <c r="Z928" s="186"/>
      <c r="AA928" s="186"/>
      <c r="AB928" s="186"/>
      <c r="AC928" s="186"/>
      <c r="AD928" s="186"/>
      <c r="AF928" s="150"/>
      <c r="AG928" s="150"/>
      <c r="AH928" s="150"/>
      <c r="AI928" s="150"/>
      <c r="AJ928" s="150"/>
      <c r="AK928" s="150"/>
      <c r="AL928" s="150"/>
      <c r="AM928" s="150"/>
      <c r="AN928" s="150"/>
      <c r="AO928" s="150"/>
      <c r="AP928" s="150"/>
      <c r="AQ928" s="150"/>
      <c r="AT928" s="186"/>
      <c r="AU928" s="186"/>
      <c r="AV928" s="186"/>
      <c r="AW928" s="186"/>
      <c r="AX928" s="186"/>
      <c r="AY928" s="186"/>
      <c r="AZ928" s="186"/>
      <c r="BA928" s="186"/>
      <c r="BB928" s="186"/>
      <c r="BC928" s="186"/>
      <c r="BD928" s="186"/>
      <c r="BE928" s="186"/>
      <c r="BF928" s="150"/>
      <c r="BG928" s="150"/>
    </row>
    <row r="929" spans="3:59" ht="14.6">
      <c r="C929" s="289"/>
      <c r="D929" s="150"/>
      <c r="E929" s="150"/>
      <c r="F929" s="150"/>
      <c r="G929" s="150"/>
      <c r="H929" s="150"/>
      <c r="I929" s="150"/>
      <c r="J929" s="150"/>
      <c r="K929" s="150"/>
      <c r="L929" s="150"/>
      <c r="M929" s="150"/>
      <c r="N929" s="150"/>
      <c r="O929" s="150"/>
      <c r="P929" s="150"/>
      <c r="Q929" s="150"/>
      <c r="R929" s="150"/>
      <c r="S929" s="150"/>
      <c r="T929" s="186"/>
      <c r="U929" s="186"/>
      <c r="V929" s="186"/>
      <c r="W929" s="186"/>
      <c r="X929" s="186"/>
      <c r="Y929" s="186"/>
      <c r="Z929" s="186"/>
      <c r="AA929" s="186"/>
      <c r="AB929" s="186"/>
      <c r="AC929" s="186"/>
      <c r="AD929" s="186"/>
      <c r="AF929" s="150"/>
      <c r="AG929" s="150"/>
      <c r="AH929" s="150"/>
      <c r="AI929" s="150"/>
      <c r="AJ929" s="150"/>
      <c r="AK929" s="150"/>
      <c r="AL929" s="150"/>
      <c r="AM929" s="150"/>
      <c r="AN929" s="150"/>
      <c r="AO929" s="150"/>
      <c r="AP929" s="150"/>
      <c r="AQ929" s="150"/>
      <c r="AT929" s="186"/>
      <c r="AU929" s="186"/>
      <c r="AV929" s="186"/>
      <c r="AW929" s="186"/>
      <c r="AX929" s="186"/>
      <c r="AY929" s="186"/>
      <c r="AZ929" s="186"/>
      <c r="BA929" s="186"/>
      <c r="BB929" s="186"/>
      <c r="BC929" s="186"/>
      <c r="BD929" s="186"/>
      <c r="BE929" s="186"/>
      <c r="BF929" s="150"/>
      <c r="BG929" s="150"/>
    </row>
    <row r="930" spans="3:59" ht="14.6">
      <c r="C930" s="289"/>
      <c r="D930" s="150"/>
      <c r="E930" s="150"/>
      <c r="F930" s="150"/>
      <c r="G930" s="150"/>
      <c r="H930" s="150"/>
      <c r="I930" s="150"/>
      <c r="J930" s="150"/>
      <c r="K930" s="150"/>
      <c r="L930" s="150"/>
      <c r="M930" s="150"/>
      <c r="N930" s="150"/>
      <c r="O930" s="150"/>
      <c r="P930" s="150"/>
      <c r="Q930" s="150"/>
      <c r="R930" s="150"/>
      <c r="S930" s="150"/>
      <c r="T930" s="186"/>
      <c r="U930" s="186"/>
      <c r="V930" s="186"/>
      <c r="W930" s="186"/>
      <c r="X930" s="186"/>
      <c r="Y930" s="186"/>
      <c r="Z930" s="186"/>
      <c r="AA930" s="186"/>
      <c r="AB930" s="186"/>
      <c r="AC930" s="186"/>
      <c r="AD930" s="186"/>
      <c r="AF930" s="150"/>
      <c r="AG930" s="150"/>
      <c r="AH930" s="150"/>
      <c r="AI930" s="150"/>
      <c r="AJ930" s="150"/>
      <c r="AK930" s="150"/>
      <c r="AL930" s="150"/>
      <c r="AM930" s="150"/>
      <c r="AN930" s="150"/>
      <c r="AO930" s="150"/>
      <c r="AP930" s="150"/>
      <c r="AQ930" s="150"/>
      <c r="AT930" s="186"/>
      <c r="AU930" s="186"/>
      <c r="AV930" s="186"/>
      <c r="AW930" s="186"/>
      <c r="AX930" s="186"/>
      <c r="AY930" s="186"/>
      <c r="AZ930" s="186"/>
      <c r="BA930" s="186"/>
      <c r="BB930" s="186"/>
      <c r="BC930" s="186"/>
      <c r="BD930" s="186"/>
      <c r="BE930" s="186"/>
      <c r="BF930" s="150"/>
      <c r="BG930" s="150"/>
    </row>
    <row r="931" spans="3:59" ht="14.6">
      <c r="C931" s="289"/>
      <c r="D931" s="150"/>
      <c r="E931" s="150"/>
      <c r="F931" s="150"/>
      <c r="G931" s="150"/>
      <c r="H931" s="150"/>
      <c r="I931" s="150"/>
      <c r="J931" s="150"/>
      <c r="K931" s="150"/>
      <c r="L931" s="150"/>
      <c r="M931" s="150"/>
      <c r="N931" s="150"/>
      <c r="O931" s="150"/>
      <c r="P931" s="150"/>
      <c r="Q931" s="150"/>
      <c r="R931" s="150"/>
      <c r="S931" s="150"/>
      <c r="T931" s="186"/>
      <c r="U931" s="186"/>
      <c r="V931" s="186"/>
      <c r="W931" s="186"/>
      <c r="X931" s="186"/>
      <c r="Y931" s="186"/>
      <c r="Z931" s="186"/>
      <c r="AA931" s="186"/>
      <c r="AB931" s="186"/>
      <c r="AC931" s="186"/>
      <c r="AD931" s="186"/>
      <c r="AF931" s="150"/>
      <c r="AG931" s="150"/>
      <c r="AH931" s="150"/>
      <c r="AI931" s="150"/>
      <c r="AJ931" s="150"/>
      <c r="AK931" s="150"/>
      <c r="AL931" s="150"/>
      <c r="AM931" s="150"/>
      <c r="AN931" s="150"/>
      <c r="AO931" s="150"/>
      <c r="AP931" s="150"/>
      <c r="AQ931" s="150"/>
      <c r="AT931" s="186"/>
      <c r="AU931" s="186"/>
      <c r="AV931" s="186"/>
      <c r="AW931" s="186"/>
      <c r="AX931" s="186"/>
      <c r="AY931" s="186"/>
      <c r="AZ931" s="186"/>
      <c r="BA931" s="186"/>
      <c r="BB931" s="186"/>
      <c r="BC931" s="186"/>
      <c r="BD931" s="186"/>
      <c r="BE931" s="186"/>
      <c r="BF931" s="150"/>
      <c r="BG931" s="150"/>
    </row>
    <row r="932" spans="3:59" ht="14.6">
      <c r="C932" s="289"/>
      <c r="D932" s="150"/>
      <c r="E932" s="150"/>
      <c r="F932" s="150"/>
      <c r="G932" s="150"/>
      <c r="H932" s="150"/>
      <c r="I932" s="150"/>
      <c r="J932" s="150"/>
      <c r="K932" s="150"/>
      <c r="L932" s="150"/>
      <c r="M932" s="150"/>
      <c r="N932" s="150"/>
      <c r="O932" s="150"/>
      <c r="P932" s="150"/>
      <c r="Q932" s="150"/>
      <c r="R932" s="150"/>
      <c r="S932" s="150"/>
      <c r="T932" s="186"/>
      <c r="U932" s="186"/>
      <c r="V932" s="186"/>
      <c r="W932" s="186"/>
      <c r="X932" s="186"/>
      <c r="Y932" s="186"/>
      <c r="Z932" s="186"/>
      <c r="AA932" s="186"/>
      <c r="AB932" s="186"/>
      <c r="AC932" s="186"/>
      <c r="AD932" s="186"/>
      <c r="AF932" s="150"/>
      <c r="AG932" s="150"/>
      <c r="AH932" s="150"/>
      <c r="AI932" s="150"/>
      <c r="AJ932" s="150"/>
      <c r="AK932" s="150"/>
      <c r="AL932" s="150"/>
      <c r="AM932" s="150"/>
      <c r="AN932" s="150"/>
      <c r="AO932" s="150"/>
      <c r="AP932" s="150"/>
      <c r="AQ932" s="150"/>
      <c r="AT932" s="186"/>
      <c r="AU932" s="186"/>
      <c r="AV932" s="186"/>
      <c r="AW932" s="186"/>
      <c r="AX932" s="186"/>
      <c r="AY932" s="186"/>
      <c r="AZ932" s="186"/>
      <c r="BA932" s="186"/>
      <c r="BB932" s="186"/>
      <c r="BC932" s="186"/>
      <c r="BD932" s="186"/>
      <c r="BE932" s="186"/>
      <c r="BF932" s="150"/>
      <c r="BG932" s="150"/>
    </row>
    <row r="933" spans="3:59" ht="14.6">
      <c r="C933" s="289"/>
      <c r="D933" s="150"/>
      <c r="E933" s="150"/>
      <c r="F933" s="150"/>
      <c r="G933" s="150"/>
      <c r="H933" s="150"/>
      <c r="I933" s="150"/>
      <c r="J933" s="150"/>
      <c r="K933" s="150"/>
      <c r="L933" s="150"/>
      <c r="M933" s="150"/>
      <c r="N933" s="150"/>
      <c r="O933" s="150"/>
      <c r="P933" s="150"/>
      <c r="Q933" s="150"/>
      <c r="R933" s="150"/>
      <c r="S933" s="150"/>
      <c r="T933" s="186"/>
      <c r="U933" s="186"/>
      <c r="V933" s="186"/>
      <c r="W933" s="186"/>
      <c r="X933" s="186"/>
      <c r="Y933" s="186"/>
      <c r="Z933" s="186"/>
      <c r="AA933" s="186"/>
      <c r="AB933" s="186"/>
      <c r="AC933" s="186"/>
      <c r="AD933" s="186"/>
      <c r="AF933" s="150"/>
      <c r="AG933" s="150"/>
      <c r="AH933" s="150"/>
      <c r="AI933" s="150"/>
      <c r="AJ933" s="150"/>
      <c r="AK933" s="150"/>
      <c r="AL933" s="150"/>
      <c r="AM933" s="150"/>
      <c r="AN933" s="150"/>
      <c r="AO933" s="150"/>
      <c r="AP933" s="150"/>
      <c r="AQ933" s="150"/>
      <c r="AT933" s="186"/>
      <c r="AU933" s="186"/>
      <c r="AV933" s="186"/>
      <c r="AW933" s="186"/>
      <c r="AX933" s="186"/>
      <c r="AY933" s="186"/>
      <c r="AZ933" s="186"/>
      <c r="BA933" s="186"/>
      <c r="BB933" s="186"/>
      <c r="BC933" s="186"/>
      <c r="BD933" s="186"/>
      <c r="BE933" s="186"/>
      <c r="BF933" s="150"/>
      <c r="BG933" s="150"/>
    </row>
    <row r="934" spans="3:59" ht="14.6">
      <c r="C934" s="289"/>
      <c r="D934" s="150"/>
      <c r="E934" s="150"/>
      <c r="F934" s="150"/>
      <c r="G934" s="150"/>
      <c r="H934" s="150"/>
      <c r="I934" s="150"/>
      <c r="J934" s="150"/>
      <c r="K934" s="150"/>
      <c r="L934" s="150"/>
      <c r="M934" s="150"/>
      <c r="N934" s="150"/>
      <c r="O934" s="150"/>
      <c r="P934" s="150"/>
      <c r="Q934" s="150"/>
      <c r="R934" s="150"/>
      <c r="S934" s="150"/>
      <c r="T934" s="186"/>
      <c r="U934" s="186"/>
      <c r="V934" s="186"/>
      <c r="W934" s="186"/>
      <c r="X934" s="186"/>
      <c r="Y934" s="186"/>
      <c r="Z934" s="186"/>
      <c r="AA934" s="186"/>
      <c r="AB934" s="186"/>
      <c r="AC934" s="186"/>
      <c r="AD934" s="186"/>
      <c r="AF934" s="150"/>
      <c r="AG934" s="150"/>
      <c r="AH934" s="150"/>
      <c r="AI934" s="150"/>
      <c r="AJ934" s="150"/>
      <c r="AK934" s="150"/>
      <c r="AL934" s="150"/>
      <c r="AM934" s="150"/>
      <c r="AN934" s="150"/>
      <c r="AO934" s="150"/>
      <c r="AP934" s="150"/>
      <c r="AQ934" s="150"/>
      <c r="AT934" s="186"/>
      <c r="AU934" s="186"/>
      <c r="AV934" s="186"/>
      <c r="AW934" s="186"/>
      <c r="AX934" s="186"/>
      <c r="AY934" s="186"/>
      <c r="AZ934" s="186"/>
      <c r="BA934" s="186"/>
      <c r="BB934" s="186"/>
      <c r="BC934" s="186"/>
      <c r="BD934" s="186"/>
      <c r="BE934" s="186"/>
      <c r="BF934" s="150"/>
      <c r="BG934" s="150"/>
    </row>
    <row r="935" spans="3:59" ht="14.6">
      <c r="C935" s="289"/>
      <c r="D935" s="150"/>
      <c r="E935" s="150"/>
      <c r="F935" s="150"/>
      <c r="G935" s="150"/>
      <c r="H935" s="150"/>
      <c r="I935" s="150"/>
      <c r="J935" s="150"/>
      <c r="K935" s="150"/>
      <c r="L935" s="150"/>
      <c r="M935" s="150"/>
      <c r="N935" s="150"/>
      <c r="O935" s="150"/>
      <c r="P935" s="150"/>
      <c r="Q935" s="150"/>
      <c r="R935" s="150"/>
      <c r="S935" s="150"/>
      <c r="T935" s="186"/>
      <c r="U935" s="186"/>
      <c r="V935" s="186"/>
      <c r="W935" s="186"/>
      <c r="X935" s="186"/>
      <c r="Y935" s="186"/>
      <c r="Z935" s="186"/>
      <c r="AA935" s="186"/>
      <c r="AB935" s="186"/>
      <c r="AC935" s="186"/>
      <c r="AD935" s="186"/>
      <c r="AF935" s="150"/>
      <c r="AG935" s="150"/>
      <c r="AH935" s="150"/>
      <c r="AI935" s="150"/>
      <c r="AJ935" s="150"/>
      <c r="AK935" s="150"/>
      <c r="AL935" s="150"/>
      <c r="AM935" s="150"/>
      <c r="AN935" s="150"/>
      <c r="AO935" s="150"/>
      <c r="AP935" s="150"/>
      <c r="AQ935" s="150"/>
      <c r="AT935" s="186"/>
      <c r="AU935" s="186"/>
      <c r="AV935" s="186"/>
      <c r="AW935" s="186"/>
      <c r="AX935" s="186"/>
      <c r="AY935" s="186"/>
      <c r="AZ935" s="186"/>
      <c r="BA935" s="186"/>
      <c r="BB935" s="186"/>
      <c r="BC935" s="186"/>
      <c r="BD935" s="186"/>
      <c r="BE935" s="186"/>
      <c r="BF935" s="150"/>
      <c r="BG935" s="150"/>
    </row>
    <row r="936" spans="3:59" ht="14.6">
      <c r="C936" s="289"/>
      <c r="D936" s="150"/>
      <c r="E936" s="150"/>
      <c r="F936" s="150"/>
      <c r="G936" s="150"/>
      <c r="H936" s="150"/>
      <c r="I936" s="150"/>
      <c r="J936" s="150"/>
      <c r="K936" s="150"/>
      <c r="L936" s="150"/>
      <c r="M936" s="150"/>
      <c r="N936" s="150"/>
      <c r="O936" s="150"/>
      <c r="P936" s="150"/>
      <c r="Q936" s="150"/>
      <c r="R936" s="150"/>
      <c r="S936" s="150"/>
      <c r="T936" s="186"/>
      <c r="U936" s="186"/>
      <c r="V936" s="186"/>
      <c r="W936" s="186"/>
      <c r="X936" s="186"/>
      <c r="Y936" s="186"/>
      <c r="Z936" s="186"/>
      <c r="AA936" s="186"/>
      <c r="AB936" s="186"/>
      <c r="AC936" s="186"/>
      <c r="AD936" s="186"/>
      <c r="AF936" s="150"/>
      <c r="AG936" s="150"/>
      <c r="AH936" s="150"/>
      <c r="AI936" s="150"/>
      <c r="AJ936" s="150"/>
      <c r="AK936" s="150"/>
      <c r="AL936" s="150"/>
      <c r="AM936" s="150"/>
      <c r="AN936" s="150"/>
      <c r="AO936" s="150"/>
      <c r="AP936" s="150"/>
      <c r="AQ936" s="150"/>
      <c r="AT936" s="186"/>
      <c r="AU936" s="186"/>
      <c r="AV936" s="186"/>
      <c r="AW936" s="186"/>
      <c r="AX936" s="186"/>
      <c r="AY936" s="186"/>
      <c r="AZ936" s="186"/>
      <c r="BA936" s="186"/>
      <c r="BB936" s="186"/>
      <c r="BC936" s="186"/>
      <c r="BD936" s="186"/>
      <c r="BE936" s="186"/>
      <c r="BF936" s="150"/>
      <c r="BG936" s="150"/>
    </row>
    <row r="937" spans="3:59" ht="14.6">
      <c r="C937" s="289"/>
      <c r="D937" s="150"/>
      <c r="E937" s="150"/>
      <c r="F937" s="150"/>
      <c r="G937" s="150"/>
      <c r="H937" s="150"/>
      <c r="I937" s="150"/>
      <c r="J937" s="150"/>
      <c r="K937" s="150"/>
      <c r="L937" s="150"/>
      <c r="M937" s="150"/>
      <c r="N937" s="150"/>
      <c r="O937" s="150"/>
      <c r="P937" s="150"/>
      <c r="Q937" s="150"/>
      <c r="R937" s="150"/>
      <c r="S937" s="150"/>
      <c r="T937" s="186"/>
      <c r="U937" s="186"/>
      <c r="V937" s="186"/>
      <c r="W937" s="186"/>
      <c r="X937" s="186"/>
      <c r="Y937" s="186"/>
      <c r="Z937" s="186"/>
      <c r="AA937" s="186"/>
      <c r="AB937" s="186"/>
      <c r="AC937" s="186"/>
      <c r="AD937" s="186"/>
      <c r="AF937" s="150"/>
      <c r="AG937" s="150"/>
      <c r="AH937" s="150"/>
      <c r="AI937" s="150"/>
      <c r="AJ937" s="150"/>
      <c r="AK937" s="150"/>
      <c r="AL937" s="150"/>
      <c r="AM937" s="150"/>
      <c r="AN937" s="150"/>
      <c r="AO937" s="150"/>
      <c r="AP937" s="150"/>
      <c r="AQ937" s="150"/>
      <c r="AT937" s="186"/>
      <c r="AU937" s="186"/>
      <c r="AV937" s="186"/>
      <c r="AW937" s="186"/>
      <c r="AX937" s="186"/>
      <c r="AY937" s="186"/>
      <c r="AZ937" s="186"/>
      <c r="BA937" s="186"/>
      <c r="BB937" s="186"/>
      <c r="BC937" s="186"/>
      <c r="BD937" s="186"/>
      <c r="BE937" s="186"/>
      <c r="BF937" s="150"/>
      <c r="BG937" s="150"/>
    </row>
    <row r="938" spans="3:59" ht="14.6">
      <c r="C938" s="289"/>
      <c r="D938" s="150"/>
      <c r="E938" s="150"/>
      <c r="F938" s="150"/>
      <c r="G938" s="150"/>
      <c r="H938" s="150"/>
      <c r="I938" s="150"/>
      <c r="J938" s="150"/>
      <c r="K938" s="150"/>
      <c r="L938" s="150"/>
      <c r="M938" s="150"/>
      <c r="N938" s="150"/>
      <c r="O938" s="150"/>
      <c r="P938" s="150"/>
      <c r="Q938" s="150"/>
      <c r="R938" s="150"/>
      <c r="S938" s="150"/>
      <c r="T938" s="186"/>
      <c r="U938" s="186"/>
      <c r="V938" s="186"/>
      <c r="W938" s="186"/>
      <c r="X938" s="186"/>
      <c r="Y938" s="186"/>
      <c r="Z938" s="186"/>
      <c r="AA938" s="186"/>
      <c r="AB938" s="186"/>
      <c r="AC938" s="186"/>
      <c r="AD938" s="186"/>
      <c r="AF938" s="150"/>
      <c r="AG938" s="150"/>
      <c r="AH938" s="150"/>
      <c r="AI938" s="150"/>
      <c r="AJ938" s="150"/>
      <c r="AK938" s="150"/>
      <c r="AL938" s="150"/>
      <c r="AM938" s="150"/>
      <c r="AN938" s="150"/>
      <c r="AO938" s="150"/>
      <c r="AP938" s="150"/>
      <c r="AQ938" s="150"/>
      <c r="AT938" s="186"/>
      <c r="AU938" s="186"/>
      <c r="AV938" s="186"/>
      <c r="AW938" s="186"/>
      <c r="AX938" s="186"/>
      <c r="AY938" s="186"/>
      <c r="AZ938" s="186"/>
      <c r="BA938" s="186"/>
      <c r="BB938" s="186"/>
      <c r="BC938" s="186"/>
      <c r="BD938" s="186"/>
      <c r="BE938" s="186"/>
      <c r="BF938" s="150"/>
      <c r="BG938" s="150"/>
    </row>
    <row r="939" spans="3:59" ht="14.6">
      <c r="C939" s="289"/>
      <c r="D939" s="150"/>
      <c r="E939" s="150"/>
      <c r="F939" s="150"/>
      <c r="G939" s="150"/>
      <c r="H939" s="150"/>
      <c r="I939" s="150"/>
      <c r="J939" s="150"/>
      <c r="K939" s="150"/>
      <c r="L939" s="150"/>
      <c r="M939" s="150"/>
      <c r="N939" s="150"/>
      <c r="O939" s="150"/>
      <c r="P939" s="150"/>
      <c r="Q939" s="150"/>
      <c r="R939" s="150"/>
      <c r="S939" s="150"/>
      <c r="T939" s="186"/>
      <c r="U939" s="186"/>
      <c r="V939" s="186"/>
      <c r="W939" s="186"/>
      <c r="X939" s="186"/>
      <c r="Y939" s="186"/>
      <c r="Z939" s="186"/>
      <c r="AA939" s="186"/>
      <c r="AB939" s="186"/>
      <c r="AC939" s="186"/>
      <c r="AD939" s="186"/>
      <c r="AF939" s="150"/>
      <c r="AG939" s="150"/>
      <c r="AH939" s="150"/>
      <c r="AI939" s="150"/>
      <c r="AJ939" s="150"/>
      <c r="AK939" s="150"/>
      <c r="AL939" s="150"/>
      <c r="AM939" s="150"/>
      <c r="AN939" s="150"/>
      <c r="AO939" s="150"/>
      <c r="AP939" s="150"/>
      <c r="AQ939" s="150"/>
      <c r="AT939" s="186"/>
      <c r="AU939" s="186"/>
      <c r="AV939" s="186"/>
      <c r="AW939" s="186"/>
      <c r="AX939" s="186"/>
      <c r="AY939" s="186"/>
      <c r="AZ939" s="186"/>
      <c r="BA939" s="186"/>
      <c r="BB939" s="186"/>
      <c r="BC939" s="186"/>
      <c r="BD939" s="186"/>
      <c r="BE939" s="186"/>
      <c r="BF939" s="150"/>
      <c r="BG939" s="150"/>
    </row>
    <row r="940" spans="3:59" ht="14.6">
      <c r="C940" s="289"/>
      <c r="D940" s="150"/>
      <c r="E940" s="150"/>
      <c r="F940" s="150"/>
      <c r="G940" s="150"/>
      <c r="H940" s="150"/>
      <c r="I940" s="150"/>
      <c r="J940" s="150"/>
      <c r="K940" s="150"/>
      <c r="L940" s="150"/>
      <c r="M940" s="150"/>
      <c r="N940" s="150"/>
      <c r="O940" s="150"/>
      <c r="P940" s="150"/>
      <c r="Q940" s="150"/>
      <c r="R940" s="150"/>
      <c r="S940" s="150"/>
      <c r="T940" s="186"/>
      <c r="U940" s="186"/>
      <c r="V940" s="186"/>
      <c r="W940" s="186"/>
      <c r="X940" s="186"/>
      <c r="Y940" s="186"/>
      <c r="Z940" s="186"/>
      <c r="AA940" s="186"/>
      <c r="AB940" s="186"/>
      <c r="AC940" s="186"/>
      <c r="AD940" s="186"/>
      <c r="AF940" s="150"/>
      <c r="AG940" s="150"/>
      <c r="AH940" s="150"/>
      <c r="AI940" s="150"/>
      <c r="AJ940" s="150"/>
      <c r="AK940" s="150"/>
      <c r="AL940" s="150"/>
      <c r="AM940" s="150"/>
      <c r="AN940" s="150"/>
      <c r="AO940" s="150"/>
      <c r="AP940" s="150"/>
      <c r="AQ940" s="150"/>
      <c r="AT940" s="186"/>
      <c r="AU940" s="186"/>
      <c r="AV940" s="186"/>
      <c r="AW940" s="186"/>
      <c r="AX940" s="186"/>
      <c r="AY940" s="186"/>
      <c r="AZ940" s="186"/>
      <c r="BA940" s="186"/>
      <c r="BB940" s="186"/>
      <c r="BC940" s="186"/>
      <c r="BD940" s="186"/>
      <c r="BE940" s="186"/>
      <c r="BF940" s="150"/>
      <c r="BG940" s="150"/>
    </row>
    <row r="941" spans="3:59" ht="14.6">
      <c r="C941" s="289"/>
      <c r="D941" s="150"/>
      <c r="E941" s="150"/>
      <c r="F941" s="150"/>
      <c r="G941" s="150"/>
      <c r="H941" s="150"/>
      <c r="I941" s="150"/>
      <c r="J941" s="150"/>
      <c r="K941" s="150"/>
      <c r="L941" s="150"/>
      <c r="M941" s="150"/>
      <c r="N941" s="150"/>
      <c r="O941" s="150"/>
      <c r="P941" s="150"/>
      <c r="Q941" s="150"/>
      <c r="R941" s="150"/>
      <c r="S941" s="150"/>
      <c r="T941" s="186"/>
      <c r="U941" s="186"/>
      <c r="V941" s="186"/>
      <c r="W941" s="186"/>
      <c r="X941" s="186"/>
      <c r="Y941" s="186"/>
      <c r="Z941" s="186"/>
      <c r="AA941" s="186"/>
      <c r="AB941" s="186"/>
      <c r="AC941" s="186"/>
      <c r="AD941" s="186"/>
      <c r="AF941" s="150"/>
      <c r="AG941" s="150"/>
      <c r="AH941" s="150"/>
      <c r="AI941" s="150"/>
      <c r="AJ941" s="150"/>
      <c r="AK941" s="150"/>
      <c r="AL941" s="150"/>
      <c r="AM941" s="150"/>
      <c r="AN941" s="150"/>
      <c r="AO941" s="150"/>
      <c r="AP941" s="150"/>
      <c r="AQ941" s="150"/>
      <c r="AT941" s="186"/>
      <c r="AU941" s="186"/>
      <c r="AV941" s="186"/>
      <c r="AW941" s="186"/>
      <c r="AX941" s="186"/>
      <c r="AY941" s="186"/>
      <c r="AZ941" s="186"/>
      <c r="BA941" s="186"/>
      <c r="BB941" s="186"/>
      <c r="BC941" s="186"/>
      <c r="BD941" s="186"/>
      <c r="BE941" s="186"/>
      <c r="BF941" s="150"/>
      <c r="BG941" s="150"/>
    </row>
    <row r="942" spans="3:59" ht="14.6">
      <c r="C942" s="289"/>
      <c r="D942" s="150"/>
      <c r="E942" s="150"/>
      <c r="F942" s="150"/>
      <c r="G942" s="150"/>
      <c r="H942" s="150"/>
      <c r="I942" s="150"/>
      <c r="J942" s="150"/>
      <c r="K942" s="150"/>
      <c r="L942" s="150"/>
      <c r="M942" s="150"/>
      <c r="N942" s="150"/>
      <c r="O942" s="150"/>
      <c r="P942" s="150"/>
      <c r="Q942" s="150"/>
      <c r="R942" s="150"/>
      <c r="S942" s="150"/>
      <c r="T942" s="186"/>
      <c r="U942" s="186"/>
      <c r="V942" s="186"/>
      <c r="W942" s="186"/>
      <c r="X942" s="186"/>
      <c r="Y942" s="186"/>
      <c r="Z942" s="186"/>
      <c r="AA942" s="186"/>
      <c r="AB942" s="186"/>
      <c r="AC942" s="186"/>
      <c r="AD942" s="186"/>
      <c r="AF942" s="150"/>
      <c r="AG942" s="150"/>
      <c r="AH942" s="150"/>
      <c r="AI942" s="150"/>
      <c r="AJ942" s="150"/>
      <c r="AK942" s="150"/>
      <c r="AL942" s="150"/>
      <c r="AM942" s="150"/>
      <c r="AN942" s="150"/>
      <c r="AO942" s="150"/>
      <c r="AP942" s="150"/>
      <c r="AQ942" s="150"/>
      <c r="AT942" s="186"/>
      <c r="AU942" s="186"/>
      <c r="AV942" s="186"/>
      <c r="AW942" s="186"/>
      <c r="AX942" s="186"/>
      <c r="AY942" s="186"/>
      <c r="AZ942" s="186"/>
      <c r="BA942" s="186"/>
      <c r="BB942" s="186"/>
      <c r="BC942" s="186"/>
      <c r="BD942" s="186"/>
      <c r="BE942" s="186"/>
      <c r="BF942" s="150"/>
      <c r="BG942" s="150"/>
    </row>
    <row r="943" spans="3:59" ht="14.6">
      <c r="C943" s="289"/>
      <c r="D943" s="150"/>
      <c r="E943" s="150"/>
      <c r="F943" s="150"/>
      <c r="G943" s="150"/>
      <c r="H943" s="150"/>
      <c r="I943" s="150"/>
      <c r="J943" s="150"/>
      <c r="K943" s="150"/>
      <c r="L943" s="150"/>
      <c r="M943" s="150"/>
      <c r="N943" s="150"/>
      <c r="O943" s="150"/>
      <c r="P943" s="150"/>
      <c r="Q943" s="150"/>
      <c r="R943" s="150"/>
      <c r="S943" s="150"/>
      <c r="T943" s="186"/>
      <c r="U943" s="186"/>
      <c r="V943" s="186"/>
      <c r="W943" s="186"/>
      <c r="X943" s="186"/>
      <c r="Y943" s="186"/>
      <c r="Z943" s="186"/>
      <c r="AA943" s="186"/>
      <c r="AB943" s="186"/>
      <c r="AC943" s="186"/>
      <c r="AD943" s="186"/>
      <c r="AF943" s="150"/>
      <c r="AG943" s="150"/>
      <c r="AH943" s="150"/>
      <c r="AI943" s="150"/>
      <c r="AJ943" s="150"/>
      <c r="AK943" s="150"/>
      <c r="AL943" s="150"/>
      <c r="AM943" s="150"/>
      <c r="AN943" s="150"/>
      <c r="AO943" s="150"/>
      <c r="AP943" s="150"/>
      <c r="AQ943" s="150"/>
      <c r="AT943" s="186"/>
      <c r="AU943" s="186"/>
      <c r="AV943" s="186"/>
      <c r="AW943" s="186"/>
      <c r="AX943" s="186"/>
      <c r="AY943" s="186"/>
      <c r="AZ943" s="186"/>
      <c r="BA943" s="186"/>
      <c r="BB943" s="186"/>
      <c r="BC943" s="186"/>
      <c r="BD943" s="186"/>
      <c r="BE943" s="186"/>
      <c r="BF943" s="150"/>
      <c r="BG943" s="150"/>
    </row>
    <row r="944" spans="3:59" ht="14.6">
      <c r="C944" s="289"/>
      <c r="D944" s="150"/>
      <c r="E944" s="150"/>
      <c r="F944" s="150"/>
      <c r="G944" s="150"/>
      <c r="H944" s="150"/>
      <c r="I944" s="150"/>
      <c r="J944" s="150"/>
      <c r="K944" s="150"/>
      <c r="L944" s="150"/>
      <c r="M944" s="150"/>
      <c r="N944" s="150"/>
      <c r="O944" s="150"/>
      <c r="P944" s="150"/>
      <c r="Q944" s="150"/>
      <c r="R944" s="150"/>
      <c r="S944" s="150"/>
      <c r="T944" s="186"/>
      <c r="U944" s="186"/>
      <c r="V944" s="186"/>
      <c r="W944" s="186"/>
      <c r="X944" s="186"/>
      <c r="Y944" s="186"/>
      <c r="Z944" s="186"/>
      <c r="AA944" s="186"/>
      <c r="AB944" s="186"/>
      <c r="AC944" s="186"/>
      <c r="AD944" s="186"/>
      <c r="AF944" s="150"/>
      <c r="AG944" s="150"/>
      <c r="AH944" s="150"/>
      <c r="AI944" s="150"/>
      <c r="AJ944" s="150"/>
      <c r="AK944" s="150"/>
      <c r="AL944" s="150"/>
      <c r="AM944" s="150"/>
      <c r="AN944" s="150"/>
      <c r="AO944" s="150"/>
      <c r="AP944" s="150"/>
      <c r="AQ944" s="150"/>
      <c r="AT944" s="186"/>
      <c r="AU944" s="186"/>
      <c r="AV944" s="186"/>
      <c r="AW944" s="186"/>
      <c r="AX944" s="186"/>
      <c r="AY944" s="186"/>
      <c r="AZ944" s="186"/>
      <c r="BA944" s="186"/>
      <c r="BB944" s="186"/>
      <c r="BC944" s="186"/>
      <c r="BD944" s="186"/>
      <c r="BE944" s="186"/>
      <c r="BF944" s="150"/>
      <c r="BG944" s="150"/>
    </row>
    <row r="945" spans="3:59" ht="14.6">
      <c r="C945" s="289"/>
      <c r="D945" s="150"/>
      <c r="E945" s="150"/>
      <c r="F945" s="150"/>
      <c r="G945" s="150"/>
      <c r="H945" s="150"/>
      <c r="I945" s="150"/>
      <c r="J945" s="150"/>
      <c r="K945" s="150"/>
      <c r="L945" s="150"/>
      <c r="M945" s="150"/>
      <c r="N945" s="150"/>
      <c r="O945" s="150"/>
      <c r="P945" s="150"/>
      <c r="Q945" s="150"/>
      <c r="R945" s="150"/>
      <c r="S945" s="150"/>
      <c r="T945" s="186"/>
      <c r="U945" s="186"/>
      <c r="V945" s="186"/>
      <c r="W945" s="186"/>
      <c r="X945" s="186"/>
      <c r="Y945" s="186"/>
      <c r="Z945" s="186"/>
      <c r="AA945" s="186"/>
      <c r="AB945" s="186"/>
      <c r="AC945" s="186"/>
      <c r="AD945" s="186"/>
      <c r="AF945" s="150"/>
      <c r="AG945" s="150"/>
      <c r="AH945" s="150"/>
      <c r="AI945" s="150"/>
      <c r="AJ945" s="150"/>
      <c r="AK945" s="150"/>
      <c r="AL945" s="150"/>
      <c r="AM945" s="150"/>
      <c r="AN945" s="150"/>
      <c r="AO945" s="150"/>
      <c r="AP945" s="150"/>
      <c r="AQ945" s="150"/>
      <c r="AT945" s="186"/>
      <c r="AU945" s="186"/>
      <c r="AV945" s="186"/>
      <c r="AW945" s="186"/>
      <c r="AX945" s="186"/>
      <c r="AY945" s="186"/>
      <c r="AZ945" s="186"/>
      <c r="BA945" s="186"/>
      <c r="BB945" s="186"/>
      <c r="BC945" s="186"/>
      <c r="BD945" s="186"/>
      <c r="BE945" s="186"/>
      <c r="BF945" s="150"/>
      <c r="BG945" s="150"/>
    </row>
    <row r="946" spans="3:59" ht="14.6">
      <c r="C946" s="289"/>
      <c r="D946" s="150"/>
      <c r="E946" s="150"/>
      <c r="F946" s="150"/>
      <c r="G946" s="150"/>
      <c r="H946" s="150"/>
      <c r="I946" s="150"/>
      <c r="J946" s="150"/>
      <c r="K946" s="150"/>
      <c r="L946" s="150"/>
      <c r="M946" s="150"/>
      <c r="N946" s="150"/>
      <c r="O946" s="150"/>
      <c r="P946" s="150"/>
      <c r="Q946" s="150"/>
      <c r="R946" s="150"/>
      <c r="S946" s="150"/>
      <c r="T946" s="186"/>
      <c r="U946" s="186"/>
      <c r="V946" s="186"/>
      <c r="W946" s="186"/>
      <c r="X946" s="186"/>
      <c r="Y946" s="186"/>
      <c r="Z946" s="186"/>
      <c r="AA946" s="186"/>
      <c r="AB946" s="186"/>
      <c r="AC946" s="186"/>
      <c r="AD946" s="186"/>
      <c r="AF946" s="150"/>
      <c r="AG946" s="150"/>
      <c r="AH946" s="150"/>
      <c r="AI946" s="150"/>
      <c r="AJ946" s="150"/>
      <c r="AK946" s="150"/>
      <c r="AL946" s="150"/>
      <c r="AM946" s="150"/>
      <c r="AN946" s="150"/>
      <c r="AO946" s="150"/>
      <c r="AP946" s="150"/>
      <c r="AQ946" s="150"/>
      <c r="AT946" s="186"/>
      <c r="AU946" s="186"/>
      <c r="AV946" s="186"/>
      <c r="AW946" s="186"/>
      <c r="AX946" s="186"/>
      <c r="AY946" s="186"/>
      <c r="AZ946" s="186"/>
      <c r="BA946" s="186"/>
      <c r="BB946" s="186"/>
      <c r="BC946" s="186"/>
      <c r="BD946" s="186"/>
      <c r="BE946" s="186"/>
      <c r="BF946" s="150"/>
      <c r="BG946" s="150"/>
    </row>
    <row r="947" spans="3:59" ht="14.6">
      <c r="C947" s="289"/>
      <c r="D947" s="150"/>
      <c r="E947" s="150"/>
      <c r="F947" s="150"/>
      <c r="G947" s="150"/>
      <c r="H947" s="150"/>
      <c r="I947" s="150"/>
      <c r="J947" s="150"/>
      <c r="K947" s="150"/>
      <c r="L947" s="150"/>
      <c r="M947" s="150"/>
      <c r="N947" s="150"/>
      <c r="O947" s="150"/>
      <c r="P947" s="150"/>
      <c r="Q947" s="150"/>
      <c r="R947" s="150"/>
      <c r="S947" s="150"/>
      <c r="T947" s="186"/>
      <c r="U947" s="186"/>
      <c r="V947" s="186"/>
      <c r="W947" s="186"/>
      <c r="X947" s="186"/>
      <c r="Y947" s="186"/>
      <c r="Z947" s="186"/>
      <c r="AA947" s="186"/>
      <c r="AB947" s="186"/>
      <c r="AC947" s="186"/>
      <c r="AD947" s="186"/>
      <c r="AF947" s="150"/>
      <c r="AG947" s="150"/>
      <c r="AH947" s="150"/>
      <c r="AI947" s="150"/>
      <c r="AJ947" s="150"/>
      <c r="AK947" s="150"/>
      <c r="AL947" s="150"/>
      <c r="AM947" s="150"/>
      <c r="AN947" s="150"/>
      <c r="AO947" s="150"/>
      <c r="AP947" s="150"/>
      <c r="AQ947" s="150"/>
      <c r="AT947" s="186"/>
      <c r="AU947" s="186"/>
      <c r="AV947" s="186"/>
      <c r="AW947" s="186"/>
      <c r="AX947" s="186"/>
      <c r="AY947" s="186"/>
      <c r="AZ947" s="186"/>
      <c r="BA947" s="186"/>
      <c r="BB947" s="186"/>
      <c r="BC947" s="186"/>
      <c r="BD947" s="186"/>
      <c r="BE947" s="186"/>
      <c r="BF947" s="150"/>
      <c r="BG947" s="150"/>
    </row>
    <row r="948" spans="3:59" ht="14.6">
      <c r="C948" s="289"/>
      <c r="D948" s="150"/>
      <c r="E948" s="150"/>
      <c r="F948" s="150"/>
      <c r="G948" s="150"/>
      <c r="H948" s="150"/>
      <c r="I948" s="150"/>
      <c r="J948" s="150"/>
      <c r="K948" s="150"/>
      <c r="L948" s="150"/>
      <c r="M948" s="150"/>
      <c r="N948" s="150"/>
      <c r="O948" s="150"/>
      <c r="P948" s="150"/>
      <c r="Q948" s="150"/>
      <c r="R948" s="150"/>
      <c r="S948" s="150"/>
      <c r="T948" s="186"/>
      <c r="U948" s="186"/>
      <c r="V948" s="186"/>
      <c r="W948" s="186"/>
      <c r="X948" s="186"/>
      <c r="Y948" s="186"/>
      <c r="Z948" s="186"/>
      <c r="AA948" s="186"/>
      <c r="AB948" s="186"/>
      <c r="AC948" s="186"/>
      <c r="AD948" s="186"/>
      <c r="AF948" s="150"/>
      <c r="AG948" s="150"/>
      <c r="AH948" s="150"/>
      <c r="AI948" s="150"/>
      <c r="AJ948" s="150"/>
      <c r="AK948" s="150"/>
      <c r="AL948" s="150"/>
      <c r="AM948" s="150"/>
      <c r="AN948" s="150"/>
      <c r="AO948" s="150"/>
      <c r="AP948" s="150"/>
      <c r="AQ948" s="150"/>
      <c r="AT948" s="186"/>
      <c r="AU948" s="186"/>
      <c r="AV948" s="186"/>
      <c r="AW948" s="186"/>
      <c r="AX948" s="186"/>
      <c r="AY948" s="186"/>
      <c r="AZ948" s="186"/>
      <c r="BA948" s="186"/>
      <c r="BB948" s="186"/>
      <c r="BC948" s="186"/>
      <c r="BD948" s="186"/>
      <c r="BE948" s="186"/>
      <c r="BF948" s="150"/>
      <c r="BG948" s="150"/>
    </row>
    <row r="949" spans="3:59" ht="14.6">
      <c r="C949" s="289"/>
      <c r="D949" s="150"/>
      <c r="E949" s="150"/>
      <c r="F949" s="150"/>
      <c r="G949" s="150"/>
      <c r="H949" s="150"/>
      <c r="I949" s="150"/>
      <c r="J949" s="150"/>
      <c r="K949" s="150"/>
      <c r="L949" s="150"/>
      <c r="M949" s="150"/>
      <c r="N949" s="150"/>
      <c r="O949" s="150"/>
      <c r="P949" s="150"/>
      <c r="Q949" s="150"/>
      <c r="R949" s="150"/>
      <c r="S949" s="150"/>
      <c r="T949" s="186"/>
      <c r="U949" s="186"/>
      <c r="V949" s="186"/>
      <c r="W949" s="186"/>
      <c r="X949" s="186"/>
      <c r="Y949" s="186"/>
      <c r="Z949" s="186"/>
      <c r="AA949" s="186"/>
      <c r="AB949" s="186"/>
      <c r="AC949" s="186"/>
      <c r="AD949" s="186"/>
      <c r="AF949" s="150"/>
      <c r="AG949" s="150"/>
      <c r="AH949" s="150"/>
      <c r="AI949" s="150"/>
      <c r="AJ949" s="150"/>
      <c r="AK949" s="150"/>
      <c r="AL949" s="150"/>
      <c r="AM949" s="150"/>
      <c r="AN949" s="150"/>
      <c r="AO949" s="150"/>
      <c r="AP949" s="150"/>
      <c r="AQ949" s="150"/>
      <c r="AT949" s="186"/>
      <c r="AU949" s="186"/>
      <c r="AV949" s="186"/>
      <c r="AW949" s="186"/>
      <c r="AX949" s="186"/>
      <c r="AY949" s="186"/>
      <c r="AZ949" s="186"/>
      <c r="BA949" s="186"/>
      <c r="BB949" s="186"/>
      <c r="BC949" s="186"/>
      <c r="BD949" s="186"/>
      <c r="BE949" s="186"/>
      <c r="BF949" s="150"/>
      <c r="BG949" s="150"/>
    </row>
    <row r="950" spans="3:59" ht="14.6">
      <c r="C950" s="289"/>
      <c r="D950" s="150"/>
      <c r="E950" s="150"/>
      <c r="F950" s="150"/>
      <c r="G950" s="150"/>
      <c r="H950" s="150"/>
      <c r="I950" s="150"/>
      <c r="J950" s="150"/>
      <c r="K950" s="150"/>
      <c r="L950" s="150"/>
      <c r="M950" s="150"/>
      <c r="N950" s="150"/>
      <c r="O950" s="150"/>
      <c r="P950" s="150"/>
      <c r="Q950" s="150"/>
      <c r="R950" s="150"/>
      <c r="S950" s="150"/>
      <c r="T950" s="186"/>
      <c r="U950" s="186"/>
      <c r="V950" s="186"/>
      <c r="W950" s="186"/>
      <c r="X950" s="186"/>
      <c r="Y950" s="186"/>
      <c r="Z950" s="186"/>
      <c r="AA950" s="186"/>
      <c r="AB950" s="186"/>
      <c r="AC950" s="186"/>
      <c r="AD950" s="186"/>
      <c r="AF950" s="150"/>
      <c r="AG950" s="150"/>
      <c r="AH950" s="150"/>
      <c r="AI950" s="150"/>
      <c r="AJ950" s="150"/>
      <c r="AK950" s="150"/>
      <c r="AL950" s="150"/>
      <c r="AM950" s="150"/>
      <c r="AN950" s="150"/>
      <c r="AO950" s="150"/>
      <c r="AP950" s="150"/>
      <c r="AQ950" s="150"/>
      <c r="AT950" s="186"/>
      <c r="AU950" s="186"/>
      <c r="AV950" s="186"/>
      <c r="AW950" s="186"/>
      <c r="AX950" s="186"/>
      <c r="AY950" s="186"/>
      <c r="AZ950" s="186"/>
      <c r="BA950" s="186"/>
      <c r="BB950" s="186"/>
      <c r="BC950" s="186"/>
      <c r="BD950" s="186"/>
      <c r="BE950" s="186"/>
      <c r="BF950" s="150"/>
      <c r="BG950" s="150"/>
    </row>
    <row r="951" spans="3:59" ht="14.6">
      <c r="C951" s="289"/>
      <c r="D951" s="150"/>
      <c r="E951" s="150"/>
      <c r="F951" s="150"/>
      <c r="G951" s="150"/>
      <c r="H951" s="150"/>
      <c r="I951" s="150"/>
      <c r="J951" s="150"/>
      <c r="K951" s="150"/>
      <c r="L951" s="150"/>
      <c r="M951" s="150"/>
      <c r="N951" s="150"/>
      <c r="O951" s="150"/>
      <c r="P951" s="150"/>
      <c r="Q951" s="150"/>
      <c r="R951" s="150"/>
      <c r="S951" s="150"/>
      <c r="T951" s="186"/>
      <c r="U951" s="186"/>
      <c r="V951" s="186"/>
      <c r="W951" s="186"/>
      <c r="X951" s="186"/>
      <c r="Y951" s="186"/>
      <c r="Z951" s="186"/>
      <c r="AA951" s="186"/>
      <c r="AB951" s="186"/>
      <c r="AC951" s="186"/>
      <c r="AD951" s="186"/>
      <c r="AF951" s="150"/>
      <c r="AG951" s="150"/>
      <c r="AH951" s="150"/>
      <c r="AI951" s="150"/>
      <c r="AJ951" s="150"/>
      <c r="AK951" s="150"/>
      <c r="AL951" s="150"/>
      <c r="AM951" s="150"/>
      <c r="AN951" s="150"/>
      <c r="AO951" s="150"/>
      <c r="AP951" s="150"/>
      <c r="AQ951" s="150"/>
      <c r="AT951" s="186"/>
      <c r="AU951" s="186"/>
      <c r="AV951" s="186"/>
      <c r="AW951" s="186"/>
      <c r="AX951" s="186"/>
      <c r="AY951" s="186"/>
      <c r="AZ951" s="186"/>
      <c r="BA951" s="186"/>
      <c r="BB951" s="186"/>
      <c r="BC951" s="186"/>
      <c r="BD951" s="186"/>
      <c r="BE951" s="186"/>
      <c r="BF951" s="150"/>
      <c r="BG951" s="150"/>
    </row>
    <row r="952" spans="3:59" ht="14.6">
      <c r="C952" s="289"/>
      <c r="D952" s="150"/>
      <c r="E952" s="150"/>
      <c r="F952" s="150"/>
      <c r="G952" s="150"/>
      <c r="H952" s="150"/>
      <c r="I952" s="150"/>
      <c r="J952" s="150"/>
      <c r="K952" s="150"/>
      <c r="L952" s="150"/>
      <c r="M952" s="150"/>
      <c r="N952" s="150"/>
      <c r="O952" s="150"/>
      <c r="P952" s="150"/>
      <c r="Q952" s="150"/>
      <c r="R952" s="150"/>
      <c r="S952" s="150"/>
      <c r="T952" s="186"/>
      <c r="U952" s="186"/>
      <c r="V952" s="186"/>
      <c r="W952" s="186"/>
      <c r="X952" s="186"/>
      <c r="Y952" s="186"/>
      <c r="Z952" s="186"/>
      <c r="AA952" s="186"/>
      <c r="AB952" s="186"/>
      <c r="AC952" s="186"/>
      <c r="AD952" s="186"/>
      <c r="AF952" s="150"/>
      <c r="AG952" s="150"/>
      <c r="AH952" s="150"/>
      <c r="AI952" s="150"/>
      <c r="AJ952" s="150"/>
      <c r="AK952" s="150"/>
      <c r="AL952" s="150"/>
      <c r="AM952" s="150"/>
      <c r="AN952" s="150"/>
      <c r="AO952" s="150"/>
      <c r="AP952" s="150"/>
      <c r="AQ952" s="150"/>
      <c r="AT952" s="186"/>
      <c r="AU952" s="186"/>
      <c r="AV952" s="186"/>
      <c r="AW952" s="186"/>
      <c r="AX952" s="186"/>
      <c r="AY952" s="186"/>
      <c r="AZ952" s="186"/>
      <c r="BA952" s="186"/>
      <c r="BB952" s="186"/>
      <c r="BC952" s="186"/>
      <c r="BD952" s="186"/>
      <c r="BE952" s="186"/>
      <c r="BF952" s="150"/>
      <c r="BG952" s="150"/>
    </row>
    <row r="953" spans="3:59" ht="14.6">
      <c r="C953" s="289"/>
      <c r="D953" s="150"/>
      <c r="E953" s="150"/>
      <c r="F953" s="150"/>
      <c r="G953" s="150"/>
      <c r="H953" s="150"/>
      <c r="I953" s="150"/>
      <c r="J953" s="150"/>
      <c r="K953" s="150"/>
      <c r="L953" s="150"/>
      <c r="M953" s="150"/>
      <c r="N953" s="150"/>
      <c r="O953" s="150"/>
      <c r="P953" s="150"/>
      <c r="Q953" s="150"/>
      <c r="R953" s="150"/>
      <c r="S953" s="150"/>
      <c r="T953" s="186"/>
      <c r="U953" s="186"/>
      <c r="V953" s="186"/>
      <c r="W953" s="186"/>
      <c r="X953" s="186"/>
      <c r="Y953" s="186"/>
      <c r="Z953" s="186"/>
      <c r="AA953" s="186"/>
      <c r="AB953" s="186"/>
      <c r="AC953" s="186"/>
      <c r="AD953" s="186"/>
      <c r="AF953" s="150"/>
      <c r="AG953" s="150"/>
      <c r="AH953" s="150"/>
      <c r="AI953" s="150"/>
      <c r="AJ953" s="150"/>
      <c r="AK953" s="150"/>
      <c r="AL953" s="150"/>
      <c r="AM953" s="150"/>
      <c r="AN953" s="150"/>
      <c r="AO953" s="150"/>
      <c r="AP953" s="150"/>
      <c r="AQ953" s="150"/>
      <c r="AT953" s="186"/>
      <c r="AU953" s="186"/>
      <c r="AV953" s="186"/>
      <c r="AW953" s="186"/>
      <c r="AX953" s="186"/>
      <c r="AY953" s="186"/>
      <c r="AZ953" s="186"/>
      <c r="BA953" s="186"/>
      <c r="BB953" s="186"/>
      <c r="BC953" s="186"/>
      <c r="BD953" s="186"/>
      <c r="BE953" s="186"/>
      <c r="BF953" s="150"/>
      <c r="BG953" s="150"/>
    </row>
    <row r="954" spans="3:59" ht="14.6">
      <c r="C954" s="289"/>
      <c r="D954" s="150"/>
      <c r="E954" s="150"/>
      <c r="F954" s="150"/>
      <c r="G954" s="150"/>
      <c r="H954" s="150"/>
      <c r="I954" s="150"/>
      <c r="J954" s="150"/>
      <c r="K954" s="150"/>
      <c r="L954" s="150"/>
      <c r="M954" s="150"/>
      <c r="N954" s="150"/>
      <c r="O954" s="150"/>
      <c r="P954" s="150"/>
      <c r="Q954" s="150"/>
      <c r="R954" s="150"/>
      <c r="S954" s="150"/>
      <c r="T954" s="186"/>
      <c r="U954" s="186"/>
      <c r="V954" s="186"/>
      <c r="W954" s="186"/>
      <c r="X954" s="186"/>
      <c r="Y954" s="186"/>
      <c r="Z954" s="186"/>
      <c r="AA954" s="186"/>
      <c r="AB954" s="186"/>
      <c r="AC954" s="186"/>
      <c r="AD954" s="186"/>
      <c r="AF954" s="150"/>
      <c r="AG954" s="150"/>
      <c r="AH954" s="150"/>
      <c r="AI954" s="150"/>
      <c r="AJ954" s="150"/>
      <c r="AK954" s="150"/>
      <c r="AL954" s="150"/>
      <c r="AM954" s="150"/>
      <c r="AN954" s="150"/>
      <c r="AO954" s="150"/>
      <c r="AP954" s="150"/>
      <c r="AQ954" s="150"/>
      <c r="AT954" s="186"/>
      <c r="AU954" s="186"/>
      <c r="AV954" s="186"/>
      <c r="AW954" s="186"/>
      <c r="AX954" s="186"/>
      <c r="AY954" s="186"/>
      <c r="AZ954" s="186"/>
      <c r="BA954" s="186"/>
      <c r="BB954" s="186"/>
      <c r="BC954" s="186"/>
      <c r="BD954" s="186"/>
      <c r="BE954" s="186"/>
      <c r="BF954" s="150"/>
      <c r="BG954" s="150"/>
    </row>
    <row r="955" spans="3:59" ht="14.6">
      <c r="C955" s="289"/>
      <c r="D955" s="150"/>
      <c r="E955" s="150"/>
      <c r="F955" s="150"/>
      <c r="G955" s="150"/>
      <c r="H955" s="150"/>
      <c r="I955" s="150"/>
      <c r="J955" s="150"/>
      <c r="K955" s="150"/>
      <c r="L955" s="150"/>
      <c r="M955" s="150"/>
      <c r="N955" s="150"/>
      <c r="O955" s="150"/>
      <c r="P955" s="150"/>
      <c r="Q955" s="150"/>
      <c r="R955" s="150"/>
      <c r="S955" s="150"/>
      <c r="T955" s="186"/>
      <c r="U955" s="186"/>
      <c r="V955" s="186"/>
      <c r="W955" s="186"/>
      <c r="X955" s="186"/>
      <c r="Y955" s="186"/>
      <c r="Z955" s="186"/>
      <c r="AA955" s="186"/>
      <c r="AB955" s="186"/>
      <c r="AC955" s="186"/>
      <c r="AD955" s="186"/>
      <c r="AF955" s="150"/>
      <c r="AG955" s="150"/>
      <c r="AH955" s="150"/>
      <c r="AI955" s="150"/>
      <c r="AJ955" s="150"/>
      <c r="AK955" s="150"/>
      <c r="AL955" s="150"/>
      <c r="AM955" s="150"/>
      <c r="AN955" s="150"/>
      <c r="AO955" s="150"/>
      <c r="AP955" s="150"/>
      <c r="AQ955" s="150"/>
      <c r="AT955" s="186"/>
      <c r="AU955" s="186"/>
      <c r="AV955" s="186"/>
      <c r="AW955" s="186"/>
      <c r="AX955" s="186"/>
      <c r="AY955" s="186"/>
      <c r="AZ955" s="186"/>
      <c r="BA955" s="186"/>
      <c r="BB955" s="186"/>
      <c r="BC955" s="186"/>
      <c r="BD955" s="186"/>
      <c r="BE955" s="186"/>
      <c r="BF955" s="150"/>
      <c r="BG955" s="150"/>
    </row>
    <row r="956" spans="3:59" ht="14.6">
      <c r="C956" s="289"/>
      <c r="D956" s="150"/>
      <c r="E956" s="150"/>
      <c r="F956" s="150"/>
      <c r="G956" s="150"/>
      <c r="H956" s="150"/>
      <c r="I956" s="150"/>
      <c r="J956" s="150"/>
      <c r="K956" s="150"/>
      <c r="L956" s="150"/>
      <c r="M956" s="150"/>
      <c r="N956" s="150"/>
      <c r="O956" s="150"/>
      <c r="P956" s="150"/>
      <c r="Q956" s="150"/>
      <c r="R956" s="150"/>
      <c r="S956" s="150"/>
      <c r="T956" s="186"/>
      <c r="U956" s="186"/>
      <c r="V956" s="186"/>
      <c r="W956" s="186"/>
      <c r="X956" s="186"/>
      <c r="Y956" s="186"/>
      <c r="Z956" s="186"/>
      <c r="AA956" s="186"/>
      <c r="AB956" s="186"/>
      <c r="AC956" s="186"/>
      <c r="AD956" s="186"/>
      <c r="AF956" s="150"/>
      <c r="AG956" s="150"/>
      <c r="AH956" s="150"/>
      <c r="AI956" s="150"/>
      <c r="AJ956" s="150"/>
      <c r="AK956" s="150"/>
      <c r="AL956" s="150"/>
      <c r="AM956" s="150"/>
      <c r="AN956" s="150"/>
      <c r="AO956" s="150"/>
      <c r="AP956" s="150"/>
      <c r="AQ956" s="150"/>
      <c r="AT956" s="186"/>
      <c r="AU956" s="186"/>
      <c r="AV956" s="186"/>
      <c r="AW956" s="186"/>
      <c r="AX956" s="186"/>
      <c r="AY956" s="186"/>
      <c r="AZ956" s="186"/>
      <c r="BA956" s="186"/>
      <c r="BB956" s="186"/>
      <c r="BC956" s="186"/>
      <c r="BD956" s="186"/>
      <c r="BE956" s="186"/>
      <c r="BF956" s="150"/>
      <c r="BG956" s="150"/>
    </row>
    <row r="957" spans="3:59" ht="14.6">
      <c r="C957" s="289"/>
      <c r="D957" s="150"/>
      <c r="E957" s="150"/>
      <c r="F957" s="150"/>
      <c r="G957" s="150"/>
      <c r="H957" s="150"/>
      <c r="I957" s="150"/>
      <c r="J957" s="150"/>
      <c r="K957" s="150"/>
      <c r="L957" s="150"/>
      <c r="M957" s="150"/>
      <c r="N957" s="150"/>
      <c r="O957" s="150"/>
      <c r="P957" s="150"/>
      <c r="Q957" s="150"/>
      <c r="R957" s="150"/>
      <c r="S957" s="150"/>
      <c r="T957" s="186"/>
      <c r="U957" s="186"/>
      <c r="V957" s="186"/>
      <c r="W957" s="186"/>
      <c r="X957" s="186"/>
      <c r="Y957" s="186"/>
      <c r="Z957" s="186"/>
      <c r="AA957" s="186"/>
      <c r="AB957" s="186"/>
      <c r="AC957" s="186"/>
      <c r="AD957" s="186"/>
      <c r="AF957" s="150"/>
      <c r="AG957" s="150"/>
      <c r="AH957" s="150"/>
      <c r="AI957" s="150"/>
      <c r="AJ957" s="150"/>
      <c r="AK957" s="150"/>
      <c r="AL957" s="150"/>
      <c r="AM957" s="150"/>
      <c r="AN957" s="150"/>
      <c r="AO957" s="150"/>
      <c r="AP957" s="150"/>
      <c r="AQ957" s="150"/>
      <c r="AT957" s="186"/>
      <c r="AU957" s="186"/>
      <c r="AV957" s="186"/>
      <c r="AW957" s="186"/>
      <c r="AX957" s="186"/>
      <c r="AY957" s="186"/>
      <c r="AZ957" s="186"/>
      <c r="BA957" s="186"/>
      <c r="BB957" s="186"/>
      <c r="BC957" s="186"/>
      <c r="BD957" s="186"/>
      <c r="BE957" s="186"/>
      <c r="BF957" s="150"/>
      <c r="BG957" s="150"/>
    </row>
    <row r="958" spans="3:59" ht="14.6">
      <c r="C958" s="289"/>
      <c r="D958" s="150"/>
      <c r="E958" s="150"/>
      <c r="F958" s="150"/>
      <c r="G958" s="150"/>
      <c r="H958" s="150"/>
      <c r="I958" s="150"/>
      <c r="J958" s="150"/>
      <c r="K958" s="150"/>
      <c r="L958" s="150"/>
      <c r="M958" s="150"/>
      <c r="N958" s="150"/>
      <c r="O958" s="150"/>
      <c r="P958" s="150"/>
      <c r="Q958" s="150"/>
      <c r="R958" s="150"/>
      <c r="S958" s="150"/>
      <c r="T958" s="186"/>
      <c r="U958" s="186"/>
      <c r="V958" s="186"/>
      <c r="W958" s="186"/>
      <c r="X958" s="186"/>
      <c r="Y958" s="186"/>
      <c r="Z958" s="186"/>
      <c r="AA958" s="186"/>
      <c r="AB958" s="186"/>
      <c r="AC958" s="186"/>
      <c r="AD958" s="186"/>
      <c r="AF958" s="150"/>
      <c r="AG958" s="150"/>
      <c r="AH958" s="150"/>
      <c r="AI958" s="150"/>
      <c r="AJ958" s="150"/>
      <c r="AK958" s="150"/>
      <c r="AL958" s="150"/>
      <c r="AM958" s="150"/>
      <c r="AN958" s="150"/>
      <c r="AO958" s="150"/>
      <c r="AP958" s="150"/>
      <c r="AQ958" s="150"/>
      <c r="AT958" s="186"/>
      <c r="AU958" s="186"/>
      <c r="AV958" s="186"/>
      <c r="AW958" s="186"/>
      <c r="AX958" s="186"/>
      <c r="AY958" s="186"/>
      <c r="AZ958" s="186"/>
      <c r="BA958" s="186"/>
      <c r="BB958" s="186"/>
      <c r="BC958" s="186"/>
      <c r="BD958" s="186"/>
      <c r="BE958" s="186"/>
      <c r="BF958" s="150"/>
      <c r="BG958" s="150"/>
    </row>
    <row r="959" spans="3:59" ht="14.6">
      <c r="C959" s="289"/>
      <c r="D959" s="150"/>
      <c r="E959" s="150"/>
      <c r="F959" s="150"/>
      <c r="G959" s="150"/>
      <c r="H959" s="150"/>
      <c r="I959" s="150"/>
      <c r="J959" s="150"/>
      <c r="K959" s="150"/>
      <c r="L959" s="150"/>
      <c r="M959" s="150"/>
      <c r="N959" s="150"/>
      <c r="O959" s="150"/>
      <c r="P959" s="150"/>
      <c r="Q959" s="150"/>
      <c r="R959" s="150"/>
      <c r="S959" s="150"/>
      <c r="T959" s="186"/>
      <c r="U959" s="186"/>
      <c r="V959" s="186"/>
      <c r="W959" s="186"/>
      <c r="X959" s="186"/>
      <c r="Y959" s="186"/>
      <c r="Z959" s="186"/>
      <c r="AA959" s="186"/>
      <c r="AB959" s="186"/>
      <c r="AC959" s="186"/>
      <c r="AD959" s="186"/>
      <c r="AF959" s="150"/>
      <c r="AG959" s="150"/>
      <c r="AH959" s="150"/>
      <c r="AI959" s="150"/>
      <c r="AJ959" s="150"/>
      <c r="AK959" s="150"/>
      <c r="AL959" s="150"/>
      <c r="AM959" s="150"/>
      <c r="AN959" s="150"/>
      <c r="AO959" s="150"/>
      <c r="AP959" s="150"/>
      <c r="AQ959" s="150"/>
      <c r="AT959" s="186"/>
      <c r="AU959" s="186"/>
      <c r="AV959" s="186"/>
      <c r="AW959" s="186"/>
      <c r="AX959" s="186"/>
      <c r="AY959" s="186"/>
      <c r="AZ959" s="186"/>
      <c r="BA959" s="186"/>
      <c r="BB959" s="186"/>
      <c r="BC959" s="186"/>
      <c r="BD959" s="186"/>
      <c r="BE959" s="186"/>
      <c r="BF959" s="150"/>
      <c r="BG959" s="150"/>
    </row>
    <row r="960" spans="3:59" ht="14.6">
      <c r="C960" s="289"/>
      <c r="D960" s="150"/>
      <c r="E960" s="150"/>
      <c r="F960" s="150"/>
      <c r="G960" s="150"/>
      <c r="H960" s="150"/>
      <c r="I960" s="150"/>
      <c r="J960" s="150"/>
      <c r="K960" s="150"/>
      <c r="L960" s="150"/>
      <c r="M960" s="150"/>
      <c r="N960" s="150"/>
      <c r="O960" s="150"/>
      <c r="P960" s="150"/>
      <c r="Q960" s="150"/>
      <c r="R960" s="150"/>
      <c r="S960" s="150"/>
      <c r="T960" s="186"/>
      <c r="U960" s="186"/>
      <c r="V960" s="186"/>
      <c r="W960" s="186"/>
      <c r="X960" s="186"/>
      <c r="Y960" s="186"/>
      <c r="Z960" s="186"/>
      <c r="AA960" s="186"/>
      <c r="AB960" s="186"/>
      <c r="AC960" s="186"/>
      <c r="AD960" s="186"/>
      <c r="AF960" s="150"/>
      <c r="AG960" s="150"/>
      <c r="AH960" s="150"/>
      <c r="AI960" s="150"/>
      <c r="AJ960" s="150"/>
      <c r="AK960" s="150"/>
      <c r="AL960" s="150"/>
      <c r="AM960" s="150"/>
      <c r="AN960" s="150"/>
      <c r="AO960" s="150"/>
      <c r="AP960" s="150"/>
      <c r="AQ960" s="150"/>
      <c r="AT960" s="186"/>
      <c r="AU960" s="186"/>
      <c r="AV960" s="186"/>
      <c r="AW960" s="186"/>
      <c r="AX960" s="186"/>
      <c r="AY960" s="186"/>
      <c r="AZ960" s="186"/>
      <c r="BA960" s="186"/>
      <c r="BB960" s="186"/>
      <c r="BC960" s="186"/>
      <c r="BD960" s="186"/>
      <c r="BE960" s="186"/>
      <c r="BF960" s="150"/>
      <c r="BG960" s="150"/>
    </row>
    <row r="961" spans="3:59" ht="14.6">
      <c r="C961" s="289"/>
      <c r="D961" s="150"/>
      <c r="E961" s="150"/>
      <c r="F961" s="150"/>
      <c r="G961" s="150"/>
      <c r="H961" s="150"/>
      <c r="I961" s="150"/>
      <c r="J961" s="150"/>
      <c r="K961" s="150"/>
      <c r="L961" s="150"/>
      <c r="M961" s="150"/>
      <c r="N961" s="150"/>
      <c r="O961" s="150"/>
      <c r="P961" s="150"/>
      <c r="Q961" s="150"/>
      <c r="R961" s="150"/>
      <c r="S961" s="150"/>
      <c r="T961" s="186"/>
      <c r="U961" s="186"/>
      <c r="V961" s="186"/>
      <c r="W961" s="186"/>
      <c r="X961" s="186"/>
      <c r="Y961" s="186"/>
      <c r="Z961" s="186"/>
      <c r="AA961" s="186"/>
      <c r="AB961" s="186"/>
      <c r="AC961" s="186"/>
      <c r="AD961" s="186"/>
      <c r="AF961" s="150"/>
      <c r="AG961" s="150"/>
      <c r="AH961" s="150"/>
      <c r="AI961" s="150"/>
      <c r="AJ961" s="150"/>
      <c r="AK961" s="150"/>
      <c r="AL961" s="150"/>
      <c r="AM961" s="150"/>
      <c r="AN961" s="150"/>
      <c r="AO961" s="150"/>
      <c r="AP961" s="150"/>
      <c r="AQ961" s="150"/>
      <c r="AT961" s="186"/>
      <c r="AU961" s="186"/>
      <c r="AV961" s="186"/>
      <c r="AW961" s="186"/>
      <c r="AX961" s="186"/>
      <c r="AY961" s="186"/>
      <c r="AZ961" s="186"/>
      <c r="BA961" s="186"/>
      <c r="BB961" s="186"/>
      <c r="BC961" s="186"/>
      <c r="BD961" s="186"/>
      <c r="BE961" s="186"/>
      <c r="BF961" s="150"/>
      <c r="BG961" s="150"/>
    </row>
    <row r="962" spans="3:59" ht="14.6">
      <c r="C962" s="289"/>
      <c r="D962" s="150"/>
      <c r="E962" s="150"/>
      <c r="F962" s="150"/>
      <c r="G962" s="150"/>
      <c r="H962" s="150"/>
      <c r="I962" s="150"/>
      <c r="J962" s="150"/>
      <c r="K962" s="150"/>
      <c r="L962" s="150"/>
      <c r="M962" s="150"/>
      <c r="N962" s="150"/>
      <c r="O962" s="150"/>
      <c r="P962" s="150"/>
      <c r="Q962" s="150"/>
      <c r="R962" s="150"/>
      <c r="S962" s="150"/>
      <c r="T962" s="186"/>
      <c r="U962" s="186"/>
      <c r="V962" s="186"/>
      <c r="W962" s="186"/>
      <c r="X962" s="186"/>
      <c r="Y962" s="186"/>
      <c r="Z962" s="186"/>
      <c r="AA962" s="186"/>
      <c r="AB962" s="186"/>
      <c r="AC962" s="186"/>
      <c r="AD962" s="186"/>
      <c r="AF962" s="150"/>
      <c r="AG962" s="150"/>
      <c r="AH962" s="150"/>
      <c r="AI962" s="150"/>
      <c r="AJ962" s="150"/>
      <c r="AK962" s="150"/>
      <c r="AL962" s="150"/>
      <c r="AM962" s="150"/>
      <c r="AN962" s="150"/>
      <c r="AO962" s="150"/>
      <c r="AP962" s="150"/>
      <c r="AQ962" s="150"/>
      <c r="AT962" s="186"/>
      <c r="AU962" s="186"/>
      <c r="AV962" s="186"/>
      <c r="AW962" s="186"/>
      <c r="AX962" s="186"/>
      <c r="AY962" s="186"/>
      <c r="AZ962" s="186"/>
      <c r="BA962" s="186"/>
      <c r="BB962" s="186"/>
      <c r="BC962" s="186"/>
      <c r="BD962" s="186"/>
      <c r="BE962" s="186"/>
      <c r="BF962" s="150"/>
      <c r="BG962" s="150"/>
    </row>
    <row r="963" spans="3:59" ht="14.6">
      <c r="C963" s="289"/>
      <c r="D963" s="150"/>
      <c r="E963" s="150"/>
      <c r="F963" s="150"/>
      <c r="G963" s="150"/>
      <c r="H963" s="150"/>
      <c r="I963" s="150"/>
      <c r="J963" s="150"/>
      <c r="K963" s="150"/>
      <c r="L963" s="150"/>
      <c r="M963" s="150"/>
      <c r="N963" s="150"/>
      <c r="O963" s="150"/>
      <c r="P963" s="150"/>
      <c r="Q963" s="150"/>
      <c r="R963" s="150"/>
      <c r="S963" s="150"/>
      <c r="T963" s="186"/>
      <c r="U963" s="186"/>
      <c r="V963" s="186"/>
      <c r="W963" s="186"/>
      <c r="X963" s="186"/>
      <c r="Y963" s="186"/>
      <c r="Z963" s="186"/>
      <c r="AA963" s="186"/>
      <c r="AB963" s="186"/>
      <c r="AC963" s="186"/>
      <c r="AD963" s="186"/>
      <c r="AF963" s="150"/>
      <c r="AG963" s="150"/>
      <c r="AH963" s="150"/>
      <c r="AI963" s="150"/>
      <c r="AJ963" s="150"/>
      <c r="AK963" s="150"/>
      <c r="AL963" s="150"/>
      <c r="AM963" s="150"/>
      <c r="AN963" s="150"/>
      <c r="AO963" s="150"/>
      <c r="AP963" s="150"/>
      <c r="AQ963" s="150"/>
      <c r="AT963" s="186"/>
      <c r="AU963" s="186"/>
      <c r="AV963" s="186"/>
      <c r="AW963" s="186"/>
      <c r="AX963" s="186"/>
      <c r="AY963" s="186"/>
      <c r="AZ963" s="186"/>
      <c r="BA963" s="186"/>
      <c r="BB963" s="186"/>
      <c r="BC963" s="186"/>
      <c r="BD963" s="186"/>
      <c r="BE963" s="186"/>
      <c r="BF963" s="150"/>
      <c r="BG963" s="150"/>
    </row>
    <row r="964" spans="3:59" ht="14.6">
      <c r="C964" s="289"/>
      <c r="D964" s="150"/>
      <c r="E964" s="150"/>
      <c r="F964" s="150"/>
      <c r="G964" s="150"/>
      <c r="H964" s="150"/>
      <c r="I964" s="150"/>
      <c r="J964" s="150"/>
      <c r="K964" s="150"/>
      <c r="L964" s="150"/>
      <c r="M964" s="150"/>
      <c r="N964" s="150"/>
      <c r="O964" s="150"/>
      <c r="P964" s="150"/>
      <c r="Q964" s="150"/>
      <c r="R964" s="150"/>
      <c r="S964" s="150"/>
      <c r="T964" s="186"/>
      <c r="U964" s="186"/>
      <c r="V964" s="186"/>
      <c r="W964" s="186"/>
      <c r="X964" s="186"/>
      <c r="Y964" s="186"/>
      <c r="Z964" s="186"/>
      <c r="AA964" s="186"/>
      <c r="AB964" s="186"/>
      <c r="AC964" s="186"/>
      <c r="AD964" s="186"/>
      <c r="AF964" s="150"/>
      <c r="AG964" s="150"/>
      <c r="AH964" s="150"/>
      <c r="AI964" s="150"/>
      <c r="AJ964" s="150"/>
      <c r="AK964" s="150"/>
      <c r="AL964" s="150"/>
      <c r="AM964" s="150"/>
      <c r="AN964" s="150"/>
      <c r="AO964" s="150"/>
      <c r="AP964" s="150"/>
      <c r="AQ964" s="150"/>
      <c r="AT964" s="186"/>
      <c r="AU964" s="186"/>
      <c r="AV964" s="186"/>
      <c r="AW964" s="186"/>
      <c r="AX964" s="186"/>
      <c r="AY964" s="186"/>
      <c r="AZ964" s="186"/>
      <c r="BA964" s="186"/>
      <c r="BB964" s="186"/>
      <c r="BC964" s="186"/>
      <c r="BD964" s="186"/>
      <c r="BE964" s="186"/>
      <c r="BF964" s="150"/>
      <c r="BG964" s="150"/>
    </row>
    <row r="965" spans="3:59" ht="14.6">
      <c r="C965" s="289"/>
      <c r="D965" s="150"/>
      <c r="E965" s="150"/>
      <c r="F965" s="150"/>
      <c r="G965" s="150"/>
      <c r="H965" s="150"/>
      <c r="I965" s="150"/>
      <c r="J965" s="150"/>
      <c r="K965" s="150"/>
      <c r="L965" s="150"/>
      <c r="M965" s="150"/>
      <c r="N965" s="150"/>
      <c r="O965" s="150"/>
      <c r="P965" s="150"/>
      <c r="Q965" s="150"/>
      <c r="R965" s="150"/>
      <c r="S965" s="150"/>
      <c r="T965" s="186"/>
      <c r="U965" s="186"/>
      <c r="V965" s="186"/>
      <c r="W965" s="186"/>
      <c r="X965" s="186"/>
      <c r="Y965" s="186"/>
      <c r="Z965" s="186"/>
      <c r="AA965" s="186"/>
      <c r="AB965" s="186"/>
      <c r="AC965" s="186"/>
      <c r="AD965" s="186"/>
      <c r="AF965" s="150"/>
      <c r="AG965" s="150"/>
      <c r="AH965" s="150"/>
      <c r="AI965" s="150"/>
      <c r="AJ965" s="150"/>
      <c r="AK965" s="150"/>
      <c r="AL965" s="150"/>
      <c r="AM965" s="150"/>
      <c r="AN965" s="150"/>
      <c r="AO965" s="150"/>
      <c r="AP965" s="150"/>
      <c r="AQ965" s="150"/>
      <c r="AT965" s="186"/>
      <c r="AU965" s="186"/>
      <c r="AV965" s="186"/>
      <c r="AW965" s="186"/>
      <c r="AX965" s="186"/>
      <c r="AY965" s="186"/>
      <c r="AZ965" s="186"/>
      <c r="BA965" s="186"/>
      <c r="BB965" s="186"/>
      <c r="BC965" s="186"/>
      <c r="BD965" s="186"/>
      <c r="BE965" s="186"/>
      <c r="BF965" s="150"/>
      <c r="BG965" s="150"/>
    </row>
    <row r="966" spans="3:59" ht="14.6">
      <c r="C966" s="289"/>
      <c r="D966" s="150"/>
      <c r="E966" s="150"/>
      <c r="F966" s="150"/>
      <c r="G966" s="150"/>
      <c r="H966" s="150"/>
      <c r="I966" s="150"/>
      <c r="J966" s="150"/>
      <c r="K966" s="150"/>
      <c r="L966" s="150"/>
      <c r="M966" s="150"/>
      <c r="N966" s="150"/>
      <c r="O966" s="150"/>
      <c r="P966" s="150"/>
      <c r="Q966" s="150"/>
      <c r="R966" s="150"/>
      <c r="S966" s="150"/>
      <c r="T966" s="186"/>
      <c r="U966" s="186"/>
      <c r="V966" s="186"/>
      <c r="W966" s="186"/>
      <c r="X966" s="186"/>
      <c r="Y966" s="186"/>
      <c r="Z966" s="186"/>
      <c r="AA966" s="186"/>
      <c r="AB966" s="186"/>
      <c r="AC966" s="186"/>
      <c r="AD966" s="186"/>
      <c r="AF966" s="150"/>
      <c r="AG966" s="150"/>
      <c r="AH966" s="150"/>
      <c r="AI966" s="150"/>
      <c r="AJ966" s="150"/>
      <c r="AK966" s="150"/>
      <c r="AL966" s="150"/>
      <c r="AM966" s="150"/>
      <c r="AN966" s="150"/>
      <c r="AO966" s="150"/>
      <c r="AP966" s="150"/>
      <c r="AQ966" s="150"/>
      <c r="AT966" s="186"/>
      <c r="AU966" s="186"/>
      <c r="AV966" s="186"/>
      <c r="AW966" s="186"/>
      <c r="AX966" s="186"/>
      <c r="AY966" s="186"/>
      <c r="AZ966" s="186"/>
      <c r="BA966" s="186"/>
      <c r="BB966" s="186"/>
      <c r="BC966" s="186"/>
      <c r="BD966" s="186"/>
      <c r="BE966" s="186"/>
      <c r="BF966" s="150"/>
      <c r="BG966" s="150"/>
    </row>
    <row r="967" spans="3:59" ht="14.6">
      <c r="C967" s="289"/>
      <c r="D967" s="150"/>
      <c r="E967" s="150"/>
      <c r="F967" s="150"/>
      <c r="G967" s="150"/>
      <c r="H967" s="150"/>
      <c r="I967" s="150"/>
      <c r="J967" s="150"/>
      <c r="K967" s="150"/>
      <c r="L967" s="150"/>
      <c r="M967" s="150"/>
      <c r="N967" s="150"/>
      <c r="O967" s="150"/>
      <c r="P967" s="150"/>
      <c r="Q967" s="150"/>
      <c r="R967" s="150"/>
      <c r="S967" s="150"/>
      <c r="T967" s="186"/>
      <c r="U967" s="186"/>
      <c r="V967" s="186"/>
      <c r="W967" s="186"/>
      <c r="X967" s="186"/>
      <c r="Y967" s="186"/>
      <c r="Z967" s="186"/>
      <c r="AA967" s="186"/>
      <c r="AB967" s="186"/>
      <c r="AC967" s="186"/>
      <c r="AD967" s="186"/>
      <c r="AF967" s="150"/>
      <c r="AG967" s="150"/>
      <c r="AH967" s="150"/>
      <c r="AI967" s="150"/>
      <c r="AJ967" s="150"/>
      <c r="AK967" s="150"/>
      <c r="AL967" s="150"/>
      <c r="AM967" s="150"/>
      <c r="AN967" s="150"/>
      <c r="AO967" s="150"/>
      <c r="AP967" s="150"/>
      <c r="AQ967" s="150"/>
      <c r="AT967" s="186"/>
      <c r="AU967" s="186"/>
      <c r="AV967" s="186"/>
      <c r="AW967" s="186"/>
      <c r="AX967" s="186"/>
      <c r="AY967" s="186"/>
      <c r="AZ967" s="186"/>
      <c r="BA967" s="186"/>
      <c r="BB967" s="186"/>
      <c r="BC967" s="186"/>
      <c r="BD967" s="186"/>
      <c r="BE967" s="186"/>
      <c r="BF967" s="150"/>
      <c r="BG967" s="150"/>
    </row>
    <row r="968" spans="3:59" ht="14.6">
      <c r="C968" s="289"/>
      <c r="D968" s="150"/>
      <c r="E968" s="150"/>
      <c r="F968" s="150"/>
      <c r="G968" s="150"/>
      <c r="H968" s="150"/>
      <c r="I968" s="150"/>
      <c r="J968" s="150"/>
      <c r="K968" s="150"/>
      <c r="L968" s="150"/>
      <c r="M968" s="150"/>
      <c r="N968" s="150"/>
      <c r="O968" s="150"/>
      <c r="P968" s="150"/>
      <c r="Q968" s="150"/>
      <c r="R968" s="150"/>
      <c r="S968" s="150"/>
      <c r="T968" s="186"/>
      <c r="U968" s="186"/>
      <c r="V968" s="186"/>
      <c r="W968" s="186"/>
      <c r="X968" s="186"/>
      <c r="Y968" s="186"/>
      <c r="Z968" s="186"/>
      <c r="AA968" s="186"/>
      <c r="AB968" s="186"/>
      <c r="AC968" s="186"/>
      <c r="AD968" s="186"/>
      <c r="AF968" s="150"/>
      <c r="AG968" s="150"/>
      <c r="AH968" s="150"/>
      <c r="AI968" s="150"/>
      <c r="AJ968" s="150"/>
      <c r="AK968" s="150"/>
      <c r="AL968" s="150"/>
      <c r="AM968" s="150"/>
      <c r="AN968" s="150"/>
      <c r="AO968" s="150"/>
      <c r="AP968" s="150"/>
      <c r="AQ968" s="150"/>
      <c r="AT968" s="186"/>
      <c r="AU968" s="186"/>
      <c r="AV968" s="186"/>
      <c r="AW968" s="186"/>
      <c r="AX968" s="186"/>
      <c r="AY968" s="186"/>
      <c r="AZ968" s="186"/>
      <c r="BA968" s="186"/>
      <c r="BB968" s="186"/>
      <c r="BC968" s="186"/>
      <c r="BD968" s="186"/>
      <c r="BE968" s="186"/>
      <c r="BF968" s="150"/>
      <c r="BG968" s="150"/>
    </row>
    <row r="969" spans="3:59" ht="14.6">
      <c r="C969" s="289"/>
      <c r="D969" s="150"/>
      <c r="E969" s="150"/>
      <c r="F969" s="150"/>
      <c r="G969" s="150"/>
      <c r="H969" s="150"/>
      <c r="I969" s="150"/>
      <c r="J969" s="150"/>
      <c r="K969" s="150"/>
      <c r="L969" s="150"/>
      <c r="M969" s="150"/>
      <c r="N969" s="150"/>
      <c r="O969" s="150"/>
      <c r="P969" s="150"/>
      <c r="Q969" s="150"/>
      <c r="R969" s="150"/>
      <c r="S969" s="150"/>
      <c r="T969" s="186"/>
      <c r="U969" s="186"/>
      <c r="V969" s="186"/>
      <c r="W969" s="186"/>
      <c r="X969" s="186"/>
      <c r="Y969" s="186"/>
      <c r="Z969" s="186"/>
      <c r="AA969" s="186"/>
      <c r="AB969" s="186"/>
      <c r="AC969" s="186"/>
      <c r="AD969" s="186"/>
      <c r="AF969" s="150"/>
      <c r="AG969" s="150"/>
      <c r="AH969" s="150"/>
      <c r="AI969" s="150"/>
      <c r="AJ969" s="150"/>
      <c r="AK969" s="150"/>
      <c r="AL969" s="150"/>
      <c r="AM969" s="150"/>
      <c r="AN969" s="150"/>
      <c r="AO969" s="150"/>
      <c r="AP969" s="150"/>
      <c r="AQ969" s="150"/>
      <c r="AT969" s="186"/>
      <c r="AU969" s="186"/>
      <c r="AV969" s="186"/>
      <c r="AW969" s="186"/>
      <c r="AX969" s="186"/>
      <c r="AY969" s="186"/>
      <c r="AZ969" s="186"/>
      <c r="BA969" s="186"/>
      <c r="BB969" s="186"/>
      <c r="BC969" s="186"/>
      <c r="BD969" s="186"/>
      <c r="BE969" s="186"/>
      <c r="BF969" s="150"/>
      <c r="BG969" s="150"/>
    </row>
    <row r="970" spans="3:59" ht="14.6">
      <c r="C970" s="289"/>
      <c r="D970" s="150"/>
      <c r="E970" s="150"/>
      <c r="F970" s="150"/>
      <c r="G970" s="150"/>
      <c r="H970" s="150"/>
      <c r="I970" s="150"/>
      <c r="J970" s="150"/>
      <c r="K970" s="150"/>
      <c r="L970" s="150"/>
      <c r="M970" s="150"/>
      <c r="N970" s="150"/>
      <c r="O970" s="150"/>
      <c r="P970" s="150"/>
      <c r="Q970" s="150"/>
      <c r="R970" s="150"/>
      <c r="S970" s="150"/>
      <c r="T970" s="186"/>
      <c r="U970" s="186"/>
      <c r="V970" s="186"/>
      <c r="W970" s="186"/>
      <c r="X970" s="186"/>
      <c r="Y970" s="186"/>
      <c r="Z970" s="186"/>
      <c r="AA970" s="186"/>
      <c r="AB970" s="186"/>
      <c r="AC970" s="186"/>
      <c r="AD970" s="186"/>
      <c r="AF970" s="150"/>
      <c r="AG970" s="150"/>
      <c r="AH970" s="150"/>
      <c r="AI970" s="150"/>
      <c r="AJ970" s="150"/>
      <c r="AK970" s="150"/>
      <c r="AL970" s="150"/>
      <c r="AM970" s="150"/>
      <c r="AN970" s="150"/>
      <c r="AO970" s="150"/>
      <c r="AP970" s="150"/>
      <c r="AQ970" s="150"/>
      <c r="AT970" s="186"/>
      <c r="AU970" s="186"/>
      <c r="AV970" s="186"/>
      <c r="AW970" s="186"/>
      <c r="AX970" s="186"/>
      <c r="AY970" s="186"/>
      <c r="AZ970" s="186"/>
      <c r="BA970" s="186"/>
      <c r="BB970" s="186"/>
      <c r="BC970" s="186"/>
      <c r="BD970" s="186"/>
      <c r="BE970" s="186"/>
      <c r="BF970" s="150"/>
      <c r="BG970" s="150"/>
    </row>
    <row r="971" spans="3:59" ht="14.6">
      <c r="C971" s="289"/>
      <c r="D971" s="150"/>
      <c r="E971" s="150"/>
      <c r="F971" s="150"/>
      <c r="G971" s="150"/>
      <c r="H971" s="150"/>
      <c r="I971" s="150"/>
      <c r="J971" s="150"/>
      <c r="K971" s="150"/>
      <c r="L971" s="150"/>
      <c r="M971" s="150"/>
      <c r="N971" s="150"/>
      <c r="O971" s="150"/>
      <c r="P971" s="150"/>
      <c r="Q971" s="150"/>
      <c r="R971" s="150"/>
      <c r="S971" s="150"/>
      <c r="T971" s="186"/>
      <c r="U971" s="186"/>
      <c r="V971" s="186"/>
      <c r="W971" s="186"/>
      <c r="X971" s="186"/>
      <c r="Y971" s="186"/>
      <c r="Z971" s="186"/>
      <c r="AA971" s="186"/>
      <c r="AB971" s="186"/>
      <c r="AC971" s="186"/>
      <c r="AD971" s="186"/>
      <c r="AF971" s="150"/>
      <c r="AG971" s="150"/>
      <c r="AH971" s="150"/>
      <c r="AI971" s="150"/>
      <c r="AJ971" s="150"/>
      <c r="AK971" s="150"/>
      <c r="AL971" s="150"/>
      <c r="AM971" s="150"/>
      <c r="AN971" s="150"/>
      <c r="AO971" s="150"/>
      <c r="AP971" s="150"/>
      <c r="AQ971" s="150"/>
      <c r="AT971" s="186"/>
      <c r="AU971" s="186"/>
      <c r="AV971" s="186"/>
      <c r="AW971" s="186"/>
      <c r="AX971" s="186"/>
      <c r="AY971" s="186"/>
      <c r="AZ971" s="186"/>
      <c r="BA971" s="186"/>
      <c r="BB971" s="186"/>
      <c r="BC971" s="186"/>
      <c r="BD971" s="186"/>
      <c r="BE971" s="186"/>
      <c r="BF971" s="150"/>
      <c r="BG971" s="150"/>
    </row>
    <row r="972" spans="3:59" ht="14.6">
      <c r="C972" s="289"/>
      <c r="D972" s="150"/>
      <c r="E972" s="150"/>
      <c r="F972" s="150"/>
      <c r="G972" s="150"/>
      <c r="H972" s="150"/>
      <c r="I972" s="150"/>
      <c r="J972" s="150"/>
      <c r="K972" s="150"/>
      <c r="L972" s="150"/>
      <c r="M972" s="150"/>
      <c r="N972" s="150"/>
      <c r="O972" s="150"/>
      <c r="P972" s="150"/>
      <c r="Q972" s="150"/>
      <c r="R972" s="150"/>
      <c r="S972" s="150"/>
      <c r="T972" s="186"/>
      <c r="U972" s="186"/>
      <c r="V972" s="186"/>
      <c r="W972" s="186"/>
      <c r="X972" s="186"/>
      <c r="Y972" s="186"/>
      <c r="Z972" s="186"/>
      <c r="AA972" s="186"/>
      <c r="AB972" s="186"/>
      <c r="AC972" s="186"/>
      <c r="AD972" s="186"/>
      <c r="AF972" s="150"/>
      <c r="AG972" s="150"/>
      <c r="AH972" s="150"/>
      <c r="AI972" s="150"/>
      <c r="AJ972" s="150"/>
      <c r="AK972" s="150"/>
      <c r="AL972" s="150"/>
      <c r="AM972" s="150"/>
      <c r="AN972" s="150"/>
      <c r="AO972" s="150"/>
      <c r="AP972" s="150"/>
      <c r="AQ972" s="150"/>
      <c r="AT972" s="186"/>
      <c r="AU972" s="186"/>
      <c r="AV972" s="186"/>
      <c r="AW972" s="186"/>
      <c r="AX972" s="186"/>
      <c r="AY972" s="186"/>
      <c r="AZ972" s="186"/>
      <c r="BA972" s="186"/>
      <c r="BB972" s="186"/>
      <c r="BC972" s="186"/>
      <c r="BD972" s="186"/>
      <c r="BE972" s="186"/>
      <c r="BF972" s="150"/>
      <c r="BG972" s="150"/>
    </row>
    <row r="973" spans="3:59" ht="14.6">
      <c r="C973" s="289"/>
      <c r="D973" s="150"/>
      <c r="E973" s="150"/>
      <c r="F973" s="150"/>
      <c r="G973" s="150"/>
      <c r="H973" s="150"/>
      <c r="I973" s="150"/>
      <c r="J973" s="150"/>
      <c r="K973" s="150"/>
      <c r="L973" s="150"/>
      <c r="M973" s="150"/>
      <c r="N973" s="150"/>
      <c r="O973" s="150"/>
      <c r="P973" s="150"/>
      <c r="Q973" s="150"/>
      <c r="R973" s="150"/>
      <c r="S973" s="150"/>
      <c r="T973" s="186"/>
      <c r="U973" s="186"/>
      <c r="V973" s="186"/>
      <c r="W973" s="186"/>
      <c r="X973" s="186"/>
      <c r="Y973" s="186"/>
      <c r="Z973" s="186"/>
      <c r="AA973" s="186"/>
      <c r="AB973" s="186"/>
      <c r="AC973" s="186"/>
      <c r="AD973" s="186"/>
      <c r="AF973" s="150"/>
      <c r="AG973" s="150"/>
      <c r="AH973" s="150"/>
      <c r="AI973" s="150"/>
      <c r="AJ973" s="150"/>
      <c r="AK973" s="150"/>
      <c r="AL973" s="150"/>
      <c r="AM973" s="150"/>
      <c r="AN973" s="150"/>
      <c r="AO973" s="150"/>
      <c r="AP973" s="150"/>
      <c r="AQ973" s="150"/>
      <c r="AT973" s="186"/>
      <c r="AU973" s="186"/>
      <c r="AV973" s="186"/>
      <c r="AW973" s="186"/>
      <c r="AX973" s="186"/>
      <c r="AY973" s="186"/>
      <c r="AZ973" s="186"/>
      <c r="BA973" s="186"/>
      <c r="BB973" s="186"/>
      <c r="BC973" s="186"/>
      <c r="BD973" s="186"/>
      <c r="BE973" s="186"/>
      <c r="BF973" s="150"/>
      <c r="BG973" s="150"/>
    </row>
    <row r="974" spans="3:59" ht="14.6">
      <c r="C974" s="289"/>
      <c r="D974" s="150"/>
      <c r="E974" s="150"/>
      <c r="F974" s="150"/>
      <c r="G974" s="150"/>
      <c r="H974" s="150"/>
      <c r="I974" s="150"/>
      <c r="J974" s="150"/>
      <c r="K974" s="150"/>
      <c r="L974" s="150"/>
      <c r="M974" s="150"/>
      <c r="N974" s="150"/>
      <c r="O974" s="150"/>
      <c r="P974" s="150"/>
      <c r="Q974" s="150"/>
      <c r="R974" s="150"/>
      <c r="S974" s="150"/>
      <c r="T974" s="186"/>
      <c r="U974" s="186"/>
      <c r="V974" s="186"/>
      <c r="W974" s="186"/>
      <c r="X974" s="186"/>
      <c r="Y974" s="186"/>
      <c r="Z974" s="186"/>
      <c r="AA974" s="186"/>
      <c r="AB974" s="186"/>
      <c r="AC974" s="186"/>
      <c r="AD974" s="186"/>
      <c r="AF974" s="150"/>
      <c r="AG974" s="150"/>
      <c r="AH974" s="150"/>
      <c r="AI974" s="150"/>
      <c r="AJ974" s="150"/>
      <c r="AK974" s="150"/>
      <c r="AL974" s="150"/>
      <c r="AM974" s="150"/>
      <c r="AN974" s="150"/>
      <c r="AO974" s="150"/>
      <c r="AP974" s="150"/>
      <c r="AQ974" s="150"/>
      <c r="AT974" s="186"/>
      <c r="AU974" s="186"/>
      <c r="AV974" s="186"/>
      <c r="AW974" s="186"/>
      <c r="AX974" s="186"/>
      <c r="AY974" s="186"/>
      <c r="AZ974" s="186"/>
      <c r="BA974" s="186"/>
      <c r="BB974" s="186"/>
      <c r="BC974" s="186"/>
      <c r="BD974" s="186"/>
      <c r="BE974" s="186"/>
      <c r="BF974" s="150"/>
      <c r="BG974" s="150"/>
    </row>
    <row r="975" spans="3:59" ht="14.6">
      <c r="C975" s="289"/>
      <c r="D975" s="150"/>
      <c r="E975" s="150"/>
      <c r="F975" s="150"/>
      <c r="G975" s="150"/>
      <c r="H975" s="150"/>
      <c r="I975" s="150"/>
      <c r="J975" s="150"/>
      <c r="K975" s="150"/>
      <c r="L975" s="150"/>
      <c r="M975" s="150"/>
      <c r="N975" s="150"/>
      <c r="O975" s="150"/>
      <c r="P975" s="150"/>
      <c r="Q975" s="150"/>
      <c r="R975" s="150"/>
      <c r="S975" s="150"/>
      <c r="T975" s="186"/>
      <c r="U975" s="186"/>
      <c r="V975" s="186"/>
      <c r="W975" s="186"/>
      <c r="X975" s="186"/>
      <c r="Y975" s="186"/>
      <c r="Z975" s="186"/>
      <c r="AA975" s="186"/>
      <c r="AB975" s="186"/>
      <c r="AC975" s="186"/>
      <c r="AD975" s="186"/>
      <c r="AF975" s="150"/>
      <c r="AG975" s="150"/>
      <c r="AH975" s="150"/>
      <c r="AI975" s="150"/>
      <c r="AJ975" s="150"/>
      <c r="AK975" s="150"/>
      <c r="AL975" s="150"/>
      <c r="AM975" s="150"/>
      <c r="AN975" s="150"/>
      <c r="AO975" s="150"/>
      <c r="AP975" s="150"/>
      <c r="AQ975" s="150"/>
      <c r="AT975" s="186"/>
      <c r="AU975" s="186"/>
      <c r="AV975" s="186"/>
      <c r="AW975" s="186"/>
      <c r="AX975" s="186"/>
      <c r="AY975" s="186"/>
      <c r="AZ975" s="186"/>
      <c r="BA975" s="186"/>
      <c r="BB975" s="186"/>
      <c r="BC975" s="186"/>
      <c r="BD975" s="186"/>
      <c r="BE975" s="186"/>
      <c r="BF975" s="150"/>
      <c r="BG975" s="150"/>
    </row>
    <row r="976" spans="3:59" ht="14.6">
      <c r="C976" s="289"/>
      <c r="D976" s="150"/>
      <c r="E976" s="150"/>
      <c r="F976" s="150"/>
      <c r="G976" s="150"/>
      <c r="H976" s="150"/>
      <c r="I976" s="150"/>
      <c r="J976" s="150"/>
      <c r="K976" s="150"/>
      <c r="L976" s="150"/>
      <c r="M976" s="150"/>
      <c r="N976" s="150"/>
      <c r="O976" s="150"/>
      <c r="P976" s="150"/>
      <c r="Q976" s="150"/>
      <c r="R976" s="150"/>
      <c r="S976" s="150"/>
      <c r="T976" s="186"/>
      <c r="U976" s="186"/>
      <c r="V976" s="186"/>
      <c r="W976" s="186"/>
      <c r="X976" s="186"/>
      <c r="Y976" s="186"/>
      <c r="Z976" s="186"/>
      <c r="AA976" s="186"/>
      <c r="AB976" s="186"/>
      <c r="AC976" s="186"/>
      <c r="AD976" s="186"/>
      <c r="AF976" s="150"/>
      <c r="AG976" s="150"/>
      <c r="AH976" s="150"/>
      <c r="AI976" s="150"/>
      <c r="AJ976" s="150"/>
      <c r="AK976" s="150"/>
      <c r="AL976" s="150"/>
      <c r="AM976" s="150"/>
      <c r="AN976" s="150"/>
      <c r="AO976" s="150"/>
      <c r="AP976" s="150"/>
      <c r="AQ976" s="150"/>
      <c r="AT976" s="186"/>
      <c r="AU976" s="186"/>
      <c r="AV976" s="186"/>
      <c r="AW976" s="186"/>
      <c r="AX976" s="186"/>
      <c r="AY976" s="186"/>
      <c r="AZ976" s="186"/>
      <c r="BA976" s="186"/>
      <c r="BB976" s="186"/>
      <c r="BC976" s="186"/>
      <c r="BD976" s="186"/>
      <c r="BE976" s="186"/>
      <c r="BF976" s="150"/>
      <c r="BG976" s="150"/>
    </row>
    <row r="977" spans="3:59" ht="14.6">
      <c r="C977" s="289"/>
      <c r="D977" s="150"/>
      <c r="E977" s="150"/>
      <c r="F977" s="150"/>
      <c r="G977" s="150"/>
      <c r="H977" s="150"/>
      <c r="I977" s="150"/>
      <c r="J977" s="150"/>
      <c r="K977" s="150"/>
      <c r="L977" s="150"/>
      <c r="M977" s="150"/>
      <c r="N977" s="150"/>
      <c r="O977" s="150"/>
      <c r="P977" s="150"/>
      <c r="Q977" s="150"/>
      <c r="R977" s="150"/>
      <c r="S977" s="150"/>
      <c r="T977" s="186"/>
      <c r="U977" s="186"/>
      <c r="V977" s="186"/>
      <c r="W977" s="186"/>
      <c r="X977" s="186"/>
      <c r="Y977" s="186"/>
      <c r="Z977" s="186"/>
      <c r="AA977" s="186"/>
      <c r="AB977" s="186"/>
      <c r="AC977" s="186"/>
      <c r="AD977" s="186"/>
      <c r="AF977" s="150"/>
      <c r="AG977" s="150"/>
      <c r="AH977" s="150"/>
      <c r="AI977" s="150"/>
      <c r="AJ977" s="150"/>
      <c r="AK977" s="150"/>
      <c r="AL977" s="150"/>
      <c r="AM977" s="150"/>
      <c r="AN977" s="150"/>
      <c r="AO977" s="150"/>
      <c r="AP977" s="150"/>
      <c r="AQ977" s="150"/>
      <c r="AT977" s="186"/>
      <c r="AU977" s="186"/>
      <c r="AV977" s="186"/>
      <c r="AW977" s="186"/>
      <c r="AX977" s="186"/>
      <c r="AY977" s="186"/>
      <c r="AZ977" s="186"/>
      <c r="BA977" s="186"/>
      <c r="BB977" s="186"/>
      <c r="BC977" s="186"/>
      <c r="BD977" s="186"/>
      <c r="BE977" s="186"/>
      <c r="BF977" s="150"/>
      <c r="BG977" s="150"/>
    </row>
    <row r="978" spans="3:59" ht="14.6">
      <c r="C978" s="289"/>
      <c r="D978" s="150"/>
      <c r="E978" s="150"/>
      <c r="F978" s="150"/>
      <c r="G978" s="150"/>
      <c r="H978" s="150"/>
      <c r="I978" s="150"/>
      <c r="J978" s="150"/>
      <c r="K978" s="150"/>
      <c r="L978" s="150"/>
      <c r="M978" s="150"/>
      <c r="N978" s="150"/>
      <c r="O978" s="150"/>
      <c r="P978" s="150"/>
      <c r="Q978" s="150"/>
      <c r="R978" s="150"/>
      <c r="S978" s="150"/>
      <c r="T978" s="186"/>
      <c r="U978" s="186"/>
      <c r="V978" s="186"/>
      <c r="W978" s="186"/>
      <c r="X978" s="186"/>
      <c r="Y978" s="186"/>
      <c r="Z978" s="186"/>
      <c r="AA978" s="186"/>
      <c r="AB978" s="186"/>
      <c r="AC978" s="186"/>
      <c r="AD978" s="186"/>
      <c r="AF978" s="150"/>
      <c r="AG978" s="150"/>
      <c r="AH978" s="150"/>
      <c r="AI978" s="150"/>
      <c r="AJ978" s="150"/>
      <c r="AK978" s="150"/>
      <c r="AL978" s="150"/>
      <c r="AM978" s="150"/>
      <c r="AN978" s="150"/>
      <c r="AO978" s="150"/>
      <c r="AP978" s="150"/>
      <c r="AQ978" s="150"/>
      <c r="AT978" s="186"/>
      <c r="AU978" s="186"/>
      <c r="AV978" s="186"/>
      <c r="AW978" s="186"/>
      <c r="AX978" s="186"/>
      <c r="AY978" s="186"/>
      <c r="AZ978" s="186"/>
      <c r="BA978" s="186"/>
      <c r="BB978" s="186"/>
      <c r="BC978" s="186"/>
      <c r="BD978" s="186"/>
      <c r="BE978" s="186"/>
      <c r="BF978" s="150"/>
      <c r="BG978" s="150"/>
    </row>
    <row r="979" spans="3:59" ht="14.6">
      <c r="C979" s="289"/>
      <c r="D979" s="150"/>
      <c r="E979" s="150"/>
      <c r="F979" s="150"/>
      <c r="G979" s="150"/>
      <c r="H979" s="150"/>
      <c r="I979" s="150"/>
      <c r="J979" s="150"/>
      <c r="K979" s="150"/>
      <c r="L979" s="150"/>
      <c r="M979" s="150"/>
      <c r="N979" s="150"/>
      <c r="O979" s="150"/>
      <c r="P979" s="150"/>
      <c r="Q979" s="150"/>
      <c r="R979" s="150"/>
      <c r="S979" s="150"/>
      <c r="T979" s="186"/>
      <c r="U979" s="186"/>
      <c r="V979" s="186"/>
      <c r="W979" s="186"/>
      <c r="X979" s="186"/>
      <c r="Y979" s="186"/>
      <c r="Z979" s="186"/>
      <c r="AA979" s="186"/>
      <c r="AB979" s="186"/>
      <c r="AC979" s="186"/>
      <c r="AD979" s="186"/>
      <c r="AF979" s="150"/>
      <c r="AG979" s="150"/>
      <c r="AH979" s="150"/>
      <c r="AI979" s="150"/>
      <c r="AJ979" s="150"/>
      <c r="AK979" s="150"/>
      <c r="AL979" s="150"/>
      <c r="AM979" s="150"/>
      <c r="AN979" s="150"/>
      <c r="AO979" s="150"/>
      <c r="AP979" s="150"/>
      <c r="AQ979" s="150"/>
      <c r="AT979" s="186"/>
      <c r="AU979" s="186"/>
      <c r="AV979" s="186"/>
      <c r="AW979" s="186"/>
      <c r="AX979" s="186"/>
      <c r="AY979" s="186"/>
      <c r="AZ979" s="186"/>
      <c r="BA979" s="186"/>
      <c r="BB979" s="186"/>
      <c r="BC979" s="186"/>
      <c r="BD979" s="186"/>
      <c r="BE979" s="186"/>
      <c r="BF979" s="150"/>
      <c r="BG979" s="150"/>
    </row>
    <row r="980" spans="3:59" ht="14.6">
      <c r="C980" s="289"/>
      <c r="D980" s="150"/>
      <c r="E980" s="150"/>
      <c r="F980" s="150"/>
      <c r="G980" s="150"/>
      <c r="H980" s="150"/>
      <c r="I980" s="150"/>
      <c r="J980" s="150"/>
      <c r="K980" s="150"/>
      <c r="L980" s="150"/>
      <c r="M980" s="150"/>
      <c r="N980" s="150"/>
      <c r="O980" s="150"/>
      <c r="P980" s="150"/>
      <c r="Q980" s="150"/>
      <c r="R980" s="150"/>
      <c r="S980" s="150"/>
      <c r="T980" s="186"/>
      <c r="U980" s="186"/>
      <c r="V980" s="186"/>
      <c r="W980" s="186"/>
      <c r="X980" s="186"/>
      <c r="Y980" s="186"/>
      <c r="Z980" s="186"/>
      <c r="AA980" s="186"/>
      <c r="AB980" s="186"/>
      <c r="AC980" s="186"/>
      <c r="AD980" s="186"/>
      <c r="AF980" s="150"/>
      <c r="AG980" s="150"/>
      <c r="AH980" s="150"/>
      <c r="AI980" s="150"/>
      <c r="AJ980" s="150"/>
      <c r="AK980" s="150"/>
      <c r="AL980" s="150"/>
      <c r="AM980" s="150"/>
      <c r="AN980" s="150"/>
      <c r="AO980" s="150"/>
      <c r="AP980" s="150"/>
      <c r="AQ980" s="150"/>
      <c r="AT980" s="186"/>
      <c r="AU980" s="186"/>
      <c r="AV980" s="186"/>
      <c r="AW980" s="186"/>
      <c r="AX980" s="186"/>
      <c r="AY980" s="186"/>
      <c r="AZ980" s="186"/>
      <c r="BA980" s="186"/>
      <c r="BB980" s="186"/>
      <c r="BC980" s="186"/>
      <c r="BD980" s="186"/>
      <c r="BE980" s="186"/>
      <c r="BF980" s="150"/>
      <c r="BG980" s="150"/>
    </row>
    <row r="981" spans="3:59" ht="14.6">
      <c r="C981" s="289"/>
      <c r="D981" s="150"/>
      <c r="E981" s="150"/>
      <c r="F981" s="150"/>
      <c r="G981" s="150"/>
      <c r="H981" s="150"/>
      <c r="I981" s="150"/>
      <c r="J981" s="150"/>
      <c r="K981" s="150"/>
      <c r="L981" s="150"/>
      <c r="M981" s="150"/>
      <c r="N981" s="150"/>
      <c r="O981" s="150"/>
      <c r="P981" s="150"/>
      <c r="Q981" s="150"/>
      <c r="R981" s="150"/>
      <c r="S981" s="150"/>
      <c r="T981" s="186"/>
      <c r="U981" s="186"/>
      <c r="V981" s="186"/>
      <c r="W981" s="186"/>
      <c r="X981" s="186"/>
      <c r="Y981" s="186"/>
      <c r="Z981" s="186"/>
      <c r="AA981" s="186"/>
      <c r="AB981" s="186"/>
      <c r="AC981" s="186"/>
      <c r="AD981" s="186"/>
      <c r="AF981" s="150"/>
      <c r="AG981" s="150"/>
      <c r="AH981" s="150"/>
      <c r="AI981" s="150"/>
      <c r="AJ981" s="150"/>
      <c r="AK981" s="150"/>
      <c r="AL981" s="150"/>
      <c r="AM981" s="150"/>
      <c r="AN981" s="150"/>
      <c r="AO981" s="150"/>
      <c r="AP981" s="150"/>
      <c r="AQ981" s="150"/>
      <c r="AT981" s="186"/>
      <c r="AU981" s="186"/>
      <c r="AV981" s="186"/>
      <c r="AW981" s="186"/>
      <c r="AX981" s="186"/>
      <c r="AY981" s="186"/>
      <c r="AZ981" s="186"/>
      <c r="BA981" s="186"/>
      <c r="BB981" s="186"/>
      <c r="BC981" s="186"/>
      <c r="BD981" s="186"/>
      <c r="BE981" s="186"/>
      <c r="BF981" s="150"/>
      <c r="BG981" s="150"/>
    </row>
    <row r="982" spans="3:59" ht="14.6">
      <c r="C982" s="289"/>
      <c r="D982" s="150"/>
      <c r="E982" s="150"/>
      <c r="F982" s="150"/>
      <c r="G982" s="150"/>
      <c r="H982" s="150"/>
      <c r="I982" s="150"/>
      <c r="J982" s="150"/>
      <c r="K982" s="150"/>
      <c r="L982" s="150"/>
      <c r="M982" s="150"/>
      <c r="N982" s="150"/>
      <c r="O982" s="150"/>
      <c r="P982" s="150"/>
      <c r="Q982" s="150"/>
      <c r="R982" s="150"/>
      <c r="S982" s="150"/>
      <c r="T982" s="186"/>
      <c r="U982" s="186"/>
      <c r="V982" s="186"/>
      <c r="W982" s="186"/>
      <c r="X982" s="186"/>
      <c r="Y982" s="186"/>
      <c r="Z982" s="186"/>
      <c r="AA982" s="186"/>
      <c r="AB982" s="186"/>
      <c r="AC982" s="186"/>
      <c r="AD982" s="186"/>
      <c r="AF982" s="150"/>
      <c r="AG982" s="150"/>
      <c r="AH982" s="150"/>
      <c r="AI982" s="150"/>
      <c r="AJ982" s="150"/>
      <c r="AK982" s="150"/>
      <c r="AL982" s="150"/>
      <c r="AM982" s="150"/>
      <c r="AN982" s="150"/>
      <c r="AO982" s="150"/>
      <c r="AP982" s="150"/>
      <c r="AQ982" s="150"/>
      <c r="AT982" s="186"/>
      <c r="AU982" s="186"/>
      <c r="AV982" s="186"/>
      <c r="AW982" s="186"/>
      <c r="AX982" s="186"/>
      <c r="AY982" s="186"/>
      <c r="AZ982" s="186"/>
      <c r="BA982" s="186"/>
      <c r="BB982" s="186"/>
      <c r="BC982" s="186"/>
      <c r="BD982" s="186"/>
      <c r="BE982" s="186"/>
      <c r="BF982" s="150"/>
      <c r="BG982" s="150"/>
    </row>
    <row r="983" spans="3:59" ht="14.6">
      <c r="C983" s="289"/>
      <c r="D983" s="150"/>
      <c r="E983" s="150"/>
      <c r="F983" s="150"/>
      <c r="G983" s="150"/>
      <c r="H983" s="150"/>
      <c r="I983" s="150"/>
      <c r="J983" s="150"/>
      <c r="K983" s="150"/>
      <c r="L983" s="150"/>
      <c r="M983" s="150"/>
      <c r="N983" s="150"/>
      <c r="O983" s="150"/>
      <c r="P983" s="150"/>
      <c r="Q983" s="150"/>
      <c r="R983" s="150"/>
      <c r="S983" s="150"/>
      <c r="T983" s="186"/>
      <c r="U983" s="186"/>
      <c r="V983" s="186"/>
      <c r="W983" s="186"/>
      <c r="X983" s="186"/>
      <c r="Y983" s="186"/>
      <c r="Z983" s="186"/>
      <c r="AA983" s="186"/>
      <c r="AB983" s="186"/>
      <c r="AC983" s="186"/>
      <c r="AD983" s="186"/>
      <c r="AF983" s="150"/>
      <c r="AG983" s="150"/>
      <c r="AH983" s="150"/>
      <c r="AI983" s="150"/>
      <c r="AJ983" s="150"/>
      <c r="AK983" s="150"/>
      <c r="AL983" s="150"/>
      <c r="AM983" s="150"/>
      <c r="AN983" s="150"/>
      <c r="AO983" s="150"/>
      <c r="AP983" s="150"/>
      <c r="AQ983" s="150"/>
      <c r="AT983" s="186"/>
      <c r="AU983" s="186"/>
      <c r="AV983" s="186"/>
      <c r="AW983" s="186"/>
      <c r="AX983" s="186"/>
      <c r="AY983" s="186"/>
      <c r="AZ983" s="186"/>
      <c r="BA983" s="186"/>
      <c r="BB983" s="186"/>
      <c r="BC983" s="186"/>
      <c r="BD983" s="186"/>
      <c r="BE983" s="186"/>
      <c r="BF983" s="150"/>
      <c r="BG983" s="150"/>
    </row>
    <row r="984" spans="3:59" ht="14.6">
      <c r="C984" s="289"/>
      <c r="D984" s="150"/>
      <c r="E984" s="150"/>
      <c r="F984" s="150"/>
      <c r="G984" s="150"/>
      <c r="H984" s="150"/>
      <c r="I984" s="150"/>
      <c r="J984" s="150"/>
      <c r="K984" s="150"/>
      <c r="L984" s="150"/>
      <c r="M984" s="150"/>
      <c r="N984" s="150"/>
      <c r="O984" s="150"/>
      <c r="P984" s="150"/>
      <c r="Q984" s="150"/>
      <c r="R984" s="150"/>
      <c r="S984" s="150"/>
      <c r="T984" s="186"/>
      <c r="U984" s="186"/>
      <c r="V984" s="186"/>
      <c r="W984" s="186"/>
      <c r="X984" s="186"/>
      <c r="Y984" s="186"/>
      <c r="Z984" s="186"/>
      <c r="AA984" s="186"/>
      <c r="AB984" s="186"/>
      <c r="AC984" s="186"/>
      <c r="AD984" s="186"/>
      <c r="AF984" s="150"/>
      <c r="AG984" s="150"/>
      <c r="AH984" s="150"/>
      <c r="AI984" s="150"/>
      <c r="AJ984" s="150"/>
      <c r="AK984" s="150"/>
      <c r="AL984" s="150"/>
      <c r="AM984" s="150"/>
      <c r="AN984" s="150"/>
      <c r="AO984" s="150"/>
      <c r="AP984" s="150"/>
      <c r="AQ984" s="150"/>
      <c r="AT984" s="186"/>
      <c r="AU984" s="186"/>
      <c r="AV984" s="186"/>
      <c r="AW984" s="186"/>
      <c r="AX984" s="186"/>
      <c r="AY984" s="186"/>
      <c r="AZ984" s="186"/>
      <c r="BA984" s="186"/>
      <c r="BB984" s="186"/>
      <c r="BC984" s="186"/>
      <c r="BD984" s="186"/>
      <c r="BE984" s="186"/>
      <c r="BF984" s="150"/>
      <c r="BG984" s="150"/>
    </row>
    <row r="985" spans="3:59" ht="14.6">
      <c r="C985" s="289"/>
      <c r="D985" s="150"/>
      <c r="E985" s="150"/>
      <c r="F985" s="150"/>
      <c r="G985" s="150"/>
      <c r="H985" s="150"/>
      <c r="I985" s="150"/>
      <c r="J985" s="150"/>
      <c r="K985" s="150"/>
      <c r="L985" s="150"/>
      <c r="M985" s="150"/>
      <c r="N985" s="150"/>
      <c r="O985" s="150"/>
      <c r="P985" s="150"/>
      <c r="Q985" s="150"/>
      <c r="R985" s="150"/>
      <c r="S985" s="150"/>
      <c r="T985" s="186"/>
      <c r="U985" s="186"/>
      <c r="V985" s="186"/>
      <c r="W985" s="186"/>
      <c r="X985" s="186"/>
      <c r="Y985" s="186"/>
      <c r="Z985" s="186"/>
      <c r="AA985" s="186"/>
      <c r="AB985" s="186"/>
      <c r="AC985" s="186"/>
      <c r="AD985" s="186"/>
      <c r="AF985" s="150"/>
      <c r="AG985" s="150"/>
      <c r="AH985" s="150"/>
      <c r="AI985" s="150"/>
      <c r="AJ985" s="150"/>
      <c r="AK985" s="150"/>
      <c r="AL985" s="150"/>
      <c r="AM985" s="150"/>
      <c r="AN985" s="150"/>
      <c r="AO985" s="150"/>
      <c r="AP985" s="150"/>
      <c r="AQ985" s="150"/>
      <c r="AT985" s="186"/>
      <c r="AU985" s="186"/>
      <c r="AV985" s="186"/>
      <c r="AW985" s="186"/>
      <c r="AX985" s="186"/>
      <c r="AY985" s="186"/>
      <c r="AZ985" s="186"/>
      <c r="BA985" s="186"/>
      <c r="BB985" s="186"/>
      <c r="BC985" s="186"/>
      <c r="BD985" s="186"/>
      <c r="BE985" s="186"/>
      <c r="BF985" s="150"/>
      <c r="BG985" s="150"/>
    </row>
    <row r="986" spans="3:59" ht="14.6">
      <c r="C986" s="289"/>
      <c r="D986" s="150"/>
      <c r="E986" s="150"/>
      <c r="F986" s="150"/>
      <c r="G986" s="150"/>
      <c r="H986" s="150"/>
      <c r="I986" s="150"/>
      <c r="J986" s="150"/>
      <c r="K986" s="150"/>
      <c r="L986" s="150"/>
      <c r="M986" s="150"/>
      <c r="N986" s="150"/>
      <c r="O986" s="150"/>
      <c r="P986" s="150"/>
      <c r="Q986" s="150"/>
      <c r="R986" s="150"/>
      <c r="S986" s="150"/>
      <c r="T986" s="186"/>
      <c r="U986" s="186"/>
      <c r="V986" s="186"/>
      <c r="W986" s="186"/>
      <c r="X986" s="186"/>
      <c r="Y986" s="186"/>
      <c r="Z986" s="186"/>
      <c r="AA986" s="186"/>
      <c r="AB986" s="186"/>
      <c r="AC986" s="186"/>
      <c r="AD986" s="186"/>
      <c r="AF986" s="150"/>
      <c r="AG986" s="150"/>
      <c r="AH986" s="150"/>
      <c r="AI986" s="150"/>
      <c r="AJ986" s="150"/>
      <c r="AK986" s="150"/>
      <c r="AL986" s="150"/>
      <c r="AM986" s="150"/>
      <c r="AN986" s="150"/>
      <c r="AO986" s="150"/>
      <c r="AP986" s="150"/>
      <c r="AQ986" s="150"/>
      <c r="AT986" s="186"/>
      <c r="AU986" s="186"/>
      <c r="AV986" s="186"/>
      <c r="AW986" s="186"/>
      <c r="AX986" s="186"/>
      <c r="AY986" s="186"/>
      <c r="AZ986" s="186"/>
      <c r="BA986" s="186"/>
      <c r="BB986" s="186"/>
      <c r="BC986" s="186"/>
      <c r="BD986" s="186"/>
      <c r="BE986" s="186"/>
      <c r="BF986" s="150"/>
      <c r="BG986" s="150"/>
    </row>
    <row r="987" spans="3:59" ht="14.6">
      <c r="C987" s="289"/>
      <c r="D987" s="150"/>
      <c r="E987" s="150"/>
      <c r="F987" s="150"/>
      <c r="G987" s="150"/>
      <c r="H987" s="150"/>
      <c r="I987" s="150"/>
      <c r="J987" s="150"/>
      <c r="K987" s="150"/>
      <c r="L987" s="150"/>
      <c r="M987" s="150"/>
      <c r="N987" s="150"/>
      <c r="O987" s="150"/>
      <c r="P987" s="150"/>
      <c r="Q987" s="150"/>
      <c r="R987" s="150"/>
      <c r="S987" s="150"/>
      <c r="T987" s="186"/>
      <c r="U987" s="186"/>
      <c r="V987" s="186"/>
      <c r="W987" s="186"/>
      <c r="X987" s="186"/>
      <c r="Y987" s="186"/>
      <c r="Z987" s="186"/>
      <c r="AA987" s="186"/>
      <c r="AB987" s="186"/>
      <c r="AC987" s="186"/>
      <c r="AD987" s="186"/>
      <c r="AF987" s="150"/>
      <c r="AG987" s="150"/>
      <c r="AH987" s="150"/>
      <c r="AI987" s="150"/>
      <c r="AJ987" s="150"/>
      <c r="AK987" s="150"/>
      <c r="AL987" s="150"/>
      <c r="AM987" s="150"/>
      <c r="AN987" s="150"/>
      <c r="AO987" s="150"/>
      <c r="AP987" s="150"/>
      <c r="AQ987" s="150"/>
      <c r="AT987" s="186"/>
      <c r="AU987" s="186"/>
      <c r="AV987" s="186"/>
      <c r="AW987" s="186"/>
      <c r="AX987" s="186"/>
      <c r="AY987" s="186"/>
      <c r="AZ987" s="186"/>
      <c r="BA987" s="186"/>
      <c r="BB987" s="186"/>
      <c r="BC987" s="186"/>
      <c r="BD987" s="186"/>
      <c r="BE987" s="186"/>
      <c r="BF987" s="150"/>
      <c r="BG987" s="150"/>
    </row>
    <row r="988" spans="3:59" ht="14.6">
      <c r="C988" s="289"/>
      <c r="D988" s="150"/>
      <c r="E988" s="150"/>
      <c r="F988" s="150"/>
      <c r="G988" s="150"/>
      <c r="H988" s="150"/>
      <c r="I988" s="150"/>
      <c r="J988" s="150"/>
      <c r="K988" s="150"/>
      <c r="L988" s="150"/>
      <c r="M988" s="150"/>
      <c r="N988" s="150"/>
      <c r="O988" s="150"/>
      <c r="P988" s="150"/>
      <c r="Q988" s="150"/>
      <c r="R988" s="150"/>
      <c r="S988" s="150"/>
      <c r="T988" s="186"/>
      <c r="U988" s="186"/>
      <c r="V988" s="186"/>
      <c r="W988" s="186"/>
      <c r="X988" s="186"/>
      <c r="Y988" s="186"/>
      <c r="Z988" s="186"/>
      <c r="AA988" s="186"/>
      <c r="AB988" s="186"/>
      <c r="AC988" s="186"/>
      <c r="AD988" s="186"/>
      <c r="AF988" s="150"/>
      <c r="AG988" s="150"/>
      <c r="AH988" s="150"/>
      <c r="AI988" s="150"/>
      <c r="AJ988" s="150"/>
      <c r="AK988" s="150"/>
      <c r="AL988" s="150"/>
      <c r="AM988" s="150"/>
      <c r="AN988" s="150"/>
      <c r="AO988" s="150"/>
      <c r="AP988" s="150"/>
      <c r="AQ988" s="150"/>
      <c r="AT988" s="186"/>
      <c r="AU988" s="186"/>
      <c r="AV988" s="186"/>
      <c r="AW988" s="186"/>
      <c r="AX988" s="186"/>
      <c r="AY988" s="186"/>
      <c r="AZ988" s="186"/>
      <c r="BA988" s="186"/>
      <c r="BB988" s="186"/>
      <c r="BC988" s="186"/>
      <c r="BD988" s="186"/>
      <c r="BE988" s="186"/>
      <c r="BF988" s="150"/>
      <c r="BG988" s="150"/>
    </row>
    <row r="989" spans="3:59" ht="14.6">
      <c r="C989" s="289"/>
      <c r="D989" s="150"/>
      <c r="E989" s="150"/>
      <c r="F989" s="150"/>
      <c r="G989" s="150"/>
      <c r="H989" s="150"/>
      <c r="I989" s="150"/>
      <c r="J989" s="150"/>
      <c r="K989" s="150"/>
      <c r="L989" s="150"/>
      <c r="M989" s="150"/>
      <c r="N989" s="150"/>
      <c r="O989" s="150"/>
      <c r="P989" s="150"/>
      <c r="Q989" s="150"/>
      <c r="R989" s="150"/>
      <c r="S989" s="150"/>
      <c r="T989" s="186"/>
      <c r="U989" s="186"/>
      <c r="V989" s="186"/>
      <c r="W989" s="186"/>
      <c r="X989" s="186"/>
      <c r="Y989" s="186"/>
      <c r="Z989" s="186"/>
      <c r="AA989" s="186"/>
      <c r="AB989" s="186"/>
      <c r="AC989" s="186"/>
      <c r="AD989" s="186"/>
      <c r="AF989" s="150"/>
      <c r="AG989" s="150"/>
      <c r="AH989" s="150"/>
      <c r="AI989" s="150"/>
      <c r="AJ989" s="150"/>
      <c r="AK989" s="150"/>
      <c r="AL989" s="150"/>
      <c r="AM989" s="150"/>
      <c r="AN989" s="150"/>
      <c r="AO989" s="150"/>
      <c r="AP989" s="150"/>
      <c r="AQ989" s="150"/>
      <c r="AT989" s="186"/>
      <c r="AU989" s="186"/>
      <c r="AV989" s="186"/>
      <c r="AW989" s="186"/>
      <c r="AX989" s="186"/>
      <c r="AY989" s="186"/>
      <c r="AZ989" s="186"/>
      <c r="BA989" s="186"/>
      <c r="BB989" s="186"/>
      <c r="BC989" s="186"/>
      <c r="BD989" s="186"/>
      <c r="BE989" s="186"/>
      <c r="BF989" s="150"/>
      <c r="BG989" s="150"/>
    </row>
    <row r="990" spans="3:59" ht="14.6">
      <c r="C990" s="289"/>
      <c r="D990" s="150"/>
      <c r="E990" s="150"/>
      <c r="F990" s="150"/>
      <c r="G990" s="150"/>
      <c r="H990" s="150"/>
      <c r="I990" s="150"/>
      <c r="J990" s="150"/>
      <c r="K990" s="150"/>
      <c r="L990" s="150"/>
      <c r="M990" s="150"/>
      <c r="N990" s="150"/>
      <c r="O990" s="150"/>
      <c r="P990" s="150"/>
      <c r="Q990" s="150"/>
      <c r="R990" s="150"/>
      <c r="S990" s="150"/>
      <c r="T990" s="186"/>
      <c r="U990" s="186"/>
      <c r="V990" s="186"/>
      <c r="W990" s="186"/>
      <c r="X990" s="186"/>
      <c r="Y990" s="186"/>
      <c r="Z990" s="186"/>
      <c r="AA990" s="186"/>
      <c r="AB990" s="186"/>
      <c r="AC990" s="186"/>
      <c r="AD990" s="186"/>
      <c r="AF990" s="150"/>
      <c r="AG990" s="150"/>
      <c r="AH990" s="150"/>
      <c r="AI990" s="150"/>
      <c r="AJ990" s="150"/>
      <c r="AK990" s="150"/>
      <c r="AL990" s="150"/>
      <c r="AM990" s="150"/>
      <c r="AN990" s="150"/>
      <c r="AO990" s="150"/>
      <c r="AP990" s="150"/>
      <c r="AQ990" s="150"/>
      <c r="AT990" s="186"/>
      <c r="AU990" s="186"/>
      <c r="AV990" s="186"/>
      <c r="AW990" s="186"/>
      <c r="AX990" s="186"/>
      <c r="AY990" s="186"/>
      <c r="AZ990" s="186"/>
      <c r="BA990" s="186"/>
      <c r="BB990" s="186"/>
      <c r="BC990" s="186"/>
      <c r="BD990" s="186"/>
      <c r="BE990" s="186"/>
      <c r="BF990" s="150"/>
      <c r="BG990" s="150"/>
    </row>
    <row r="991" spans="3:59" ht="14.6">
      <c r="C991" s="289"/>
      <c r="D991" s="150"/>
      <c r="E991" s="150"/>
      <c r="F991" s="150"/>
      <c r="G991" s="150"/>
      <c r="H991" s="150"/>
      <c r="I991" s="150"/>
      <c r="J991" s="150"/>
      <c r="K991" s="150"/>
      <c r="L991" s="150"/>
      <c r="M991" s="150"/>
      <c r="N991" s="150"/>
      <c r="O991" s="150"/>
      <c r="P991" s="150"/>
      <c r="Q991" s="150"/>
      <c r="R991" s="150"/>
      <c r="S991" s="150"/>
      <c r="T991" s="186"/>
      <c r="U991" s="186"/>
      <c r="V991" s="186"/>
      <c r="W991" s="186"/>
      <c r="X991" s="186"/>
      <c r="Y991" s="186"/>
      <c r="Z991" s="186"/>
      <c r="AA991" s="186"/>
      <c r="AB991" s="186"/>
      <c r="AC991" s="186"/>
      <c r="AD991" s="186"/>
      <c r="AF991" s="150"/>
      <c r="AG991" s="150"/>
      <c r="AH991" s="150"/>
      <c r="AI991" s="150"/>
      <c r="AJ991" s="150"/>
      <c r="AK991" s="150"/>
      <c r="AL991" s="150"/>
      <c r="AM991" s="150"/>
      <c r="AN991" s="150"/>
      <c r="AO991" s="150"/>
      <c r="AP991" s="150"/>
      <c r="AQ991" s="150"/>
      <c r="AT991" s="186"/>
      <c r="AU991" s="186"/>
      <c r="AV991" s="186"/>
      <c r="AW991" s="186"/>
      <c r="AX991" s="186"/>
      <c r="AY991" s="186"/>
      <c r="AZ991" s="186"/>
      <c r="BA991" s="186"/>
      <c r="BB991" s="186"/>
      <c r="BC991" s="186"/>
      <c r="BD991" s="186"/>
      <c r="BE991" s="186"/>
      <c r="BF991" s="150"/>
      <c r="BG991" s="150"/>
    </row>
    <row r="992" spans="3:59" ht="14.6">
      <c r="C992" s="289"/>
      <c r="D992" s="150"/>
      <c r="E992" s="150"/>
      <c r="F992" s="150"/>
      <c r="G992" s="150"/>
      <c r="H992" s="150"/>
      <c r="I992" s="150"/>
      <c r="J992" s="150"/>
      <c r="K992" s="150"/>
      <c r="L992" s="150"/>
      <c r="M992" s="150"/>
      <c r="N992" s="150"/>
      <c r="O992" s="150"/>
      <c r="P992" s="150"/>
      <c r="Q992" s="150"/>
      <c r="R992" s="150"/>
      <c r="S992" s="150"/>
      <c r="T992" s="186"/>
      <c r="U992" s="186"/>
      <c r="V992" s="186"/>
      <c r="W992" s="186"/>
      <c r="X992" s="186"/>
      <c r="Y992" s="186"/>
      <c r="Z992" s="186"/>
      <c r="AA992" s="186"/>
      <c r="AB992" s="186"/>
      <c r="AC992" s="186"/>
      <c r="AD992" s="186"/>
      <c r="AF992" s="150"/>
      <c r="AG992" s="150"/>
      <c r="AH992" s="150"/>
      <c r="AI992" s="150"/>
      <c r="AJ992" s="150"/>
      <c r="AK992" s="150"/>
      <c r="AL992" s="150"/>
      <c r="AM992" s="150"/>
      <c r="AN992" s="150"/>
      <c r="AO992" s="150"/>
      <c r="AP992" s="150"/>
      <c r="AQ992" s="150"/>
      <c r="AT992" s="186"/>
      <c r="AU992" s="186"/>
      <c r="AV992" s="186"/>
      <c r="AW992" s="186"/>
      <c r="AX992" s="186"/>
      <c r="AY992" s="186"/>
      <c r="AZ992" s="186"/>
      <c r="BA992" s="186"/>
      <c r="BB992" s="186"/>
      <c r="BC992" s="186"/>
      <c r="BD992" s="186"/>
      <c r="BE992" s="186"/>
      <c r="BF992" s="150"/>
      <c r="BG992" s="150"/>
    </row>
    <row r="993" spans="3:59" ht="14.6">
      <c r="C993" s="289"/>
      <c r="D993" s="150"/>
      <c r="E993" s="150"/>
      <c r="F993" s="150"/>
      <c r="G993" s="150"/>
      <c r="H993" s="150"/>
      <c r="I993" s="150"/>
      <c r="J993" s="150"/>
      <c r="K993" s="150"/>
      <c r="L993" s="150"/>
      <c r="M993" s="150"/>
      <c r="N993" s="150"/>
      <c r="O993" s="150"/>
      <c r="P993" s="150"/>
      <c r="Q993" s="150"/>
      <c r="R993" s="150"/>
      <c r="S993" s="150"/>
      <c r="T993" s="186"/>
      <c r="U993" s="186"/>
      <c r="V993" s="186"/>
      <c r="W993" s="186"/>
      <c r="X993" s="186"/>
      <c r="Y993" s="186"/>
      <c r="Z993" s="186"/>
      <c r="AA993" s="186"/>
      <c r="AB993" s="186"/>
      <c r="AC993" s="186"/>
      <c r="AD993" s="186"/>
      <c r="AF993" s="150"/>
      <c r="AG993" s="150"/>
      <c r="AH993" s="150"/>
      <c r="AI993" s="150"/>
      <c r="AJ993" s="150"/>
      <c r="AK993" s="150"/>
      <c r="AL993" s="150"/>
      <c r="AM993" s="150"/>
      <c r="AN993" s="150"/>
      <c r="AO993" s="150"/>
      <c r="AP993" s="150"/>
      <c r="AQ993" s="150"/>
      <c r="AT993" s="186"/>
      <c r="AU993" s="186"/>
      <c r="AV993" s="186"/>
      <c r="AW993" s="186"/>
      <c r="AX993" s="186"/>
      <c r="AY993" s="186"/>
      <c r="AZ993" s="186"/>
      <c r="BA993" s="186"/>
      <c r="BB993" s="186"/>
      <c r="BC993" s="186"/>
      <c r="BD993" s="186"/>
      <c r="BE993" s="186"/>
      <c r="BF993" s="150"/>
      <c r="BG993" s="150"/>
    </row>
    <row r="994" spans="3:59" ht="14.6">
      <c r="C994" s="289"/>
      <c r="D994" s="150"/>
      <c r="E994" s="150"/>
      <c r="F994" s="150"/>
      <c r="G994" s="150"/>
      <c r="H994" s="150"/>
      <c r="I994" s="150"/>
      <c r="J994" s="150"/>
      <c r="K994" s="150"/>
      <c r="L994" s="150"/>
      <c r="M994" s="150"/>
      <c r="N994" s="150"/>
      <c r="O994" s="150"/>
      <c r="P994" s="150"/>
      <c r="Q994" s="150"/>
      <c r="R994" s="150"/>
      <c r="S994" s="150"/>
      <c r="T994" s="186"/>
      <c r="U994" s="186"/>
      <c r="V994" s="186"/>
      <c r="W994" s="186"/>
      <c r="X994" s="186"/>
      <c r="Y994" s="186"/>
      <c r="Z994" s="186"/>
      <c r="AA994" s="186"/>
      <c r="AB994" s="186"/>
      <c r="AC994" s="186"/>
      <c r="AD994" s="186"/>
      <c r="AF994" s="150"/>
      <c r="AG994" s="150"/>
      <c r="AH994" s="150"/>
      <c r="AI994" s="150"/>
      <c r="AJ994" s="150"/>
      <c r="AK994" s="150"/>
      <c r="AL994" s="150"/>
      <c r="AM994" s="150"/>
      <c r="AN994" s="150"/>
      <c r="AO994" s="150"/>
      <c r="AP994" s="150"/>
      <c r="AQ994" s="150"/>
      <c r="AT994" s="186"/>
      <c r="AU994" s="186"/>
      <c r="AV994" s="186"/>
      <c r="AW994" s="186"/>
      <c r="AX994" s="186"/>
      <c r="AY994" s="186"/>
      <c r="AZ994" s="186"/>
      <c r="BA994" s="186"/>
      <c r="BB994" s="186"/>
      <c r="BC994" s="186"/>
      <c r="BD994" s="186"/>
      <c r="BE994" s="186"/>
      <c r="BF994" s="150"/>
      <c r="BG994" s="150"/>
    </row>
    <row r="995" spans="3:59" ht="14.6">
      <c r="C995" s="289"/>
      <c r="D995" s="150"/>
      <c r="E995" s="150"/>
      <c r="F995" s="150"/>
      <c r="G995" s="150"/>
      <c r="H995" s="150"/>
      <c r="I995" s="150"/>
      <c r="J995" s="150"/>
      <c r="K995" s="150"/>
      <c r="L995" s="150"/>
      <c r="M995" s="150"/>
      <c r="N995" s="150"/>
      <c r="O995" s="150"/>
      <c r="P995" s="150"/>
      <c r="Q995" s="150"/>
      <c r="R995" s="150"/>
      <c r="S995" s="150"/>
      <c r="T995" s="186"/>
      <c r="U995" s="186"/>
      <c r="V995" s="186"/>
      <c r="W995" s="186"/>
      <c r="X995" s="186"/>
      <c r="Y995" s="186"/>
      <c r="Z995" s="186"/>
      <c r="AA995" s="186"/>
      <c r="AB995" s="186"/>
      <c r="AC995" s="186"/>
      <c r="AD995" s="186"/>
      <c r="AF995" s="150"/>
      <c r="AG995" s="150"/>
      <c r="AH995" s="150"/>
      <c r="AI995" s="150"/>
      <c r="AJ995" s="150"/>
      <c r="AK995" s="150"/>
      <c r="AL995" s="150"/>
      <c r="AM995" s="150"/>
      <c r="AN995" s="150"/>
      <c r="AO995" s="150"/>
      <c r="AP995" s="150"/>
      <c r="AQ995" s="150"/>
      <c r="AT995" s="186"/>
      <c r="AU995" s="186"/>
      <c r="AV995" s="186"/>
      <c r="AW995" s="186"/>
      <c r="AX995" s="186"/>
      <c r="AY995" s="186"/>
      <c r="AZ995" s="186"/>
      <c r="BA995" s="186"/>
      <c r="BB995" s="186"/>
      <c r="BC995" s="186"/>
      <c r="BD995" s="186"/>
      <c r="BE995" s="186"/>
      <c r="BF995" s="150"/>
      <c r="BG995" s="150"/>
    </row>
    <row r="996" spans="3:59" ht="14.6">
      <c r="C996" s="289"/>
      <c r="D996" s="150"/>
      <c r="E996" s="150"/>
      <c r="F996" s="150"/>
      <c r="G996" s="150"/>
      <c r="H996" s="150"/>
      <c r="I996" s="150"/>
      <c r="J996" s="150"/>
      <c r="K996" s="150"/>
      <c r="L996" s="150"/>
      <c r="M996" s="150"/>
      <c r="N996" s="150"/>
      <c r="O996" s="150"/>
      <c r="P996" s="150"/>
      <c r="Q996" s="150"/>
      <c r="R996" s="150"/>
      <c r="S996" s="150"/>
      <c r="T996" s="186"/>
      <c r="U996" s="186"/>
      <c r="V996" s="186"/>
      <c r="W996" s="186"/>
      <c r="X996" s="186"/>
      <c r="Y996" s="186"/>
      <c r="Z996" s="186"/>
      <c r="AA996" s="186"/>
      <c r="AB996" s="186"/>
      <c r="AC996" s="186"/>
      <c r="AD996" s="186"/>
      <c r="AF996" s="150"/>
      <c r="AG996" s="150"/>
      <c r="AH996" s="150"/>
      <c r="AI996" s="150"/>
      <c r="AJ996" s="150"/>
      <c r="AK996" s="150"/>
      <c r="AL996" s="150"/>
      <c r="AM996" s="150"/>
      <c r="AN996" s="150"/>
      <c r="AO996" s="150"/>
      <c r="AP996" s="150"/>
      <c r="AQ996" s="150"/>
      <c r="AT996" s="186"/>
      <c r="AU996" s="186"/>
      <c r="AV996" s="186"/>
      <c r="AW996" s="186"/>
      <c r="AX996" s="186"/>
      <c r="AY996" s="186"/>
      <c r="AZ996" s="186"/>
      <c r="BA996" s="186"/>
      <c r="BB996" s="186"/>
      <c r="BC996" s="186"/>
      <c r="BD996" s="186"/>
      <c r="BE996" s="186"/>
      <c r="BF996" s="150"/>
      <c r="BG996" s="150"/>
    </row>
    <row r="997" spans="3:59" ht="14.6">
      <c r="C997" s="289"/>
      <c r="D997" s="150"/>
      <c r="E997" s="150"/>
      <c r="F997" s="150"/>
      <c r="G997" s="150"/>
      <c r="H997" s="150"/>
      <c r="I997" s="150"/>
      <c r="J997" s="150"/>
      <c r="K997" s="150"/>
      <c r="L997" s="150"/>
      <c r="M997" s="150"/>
      <c r="N997" s="150"/>
      <c r="O997" s="150"/>
      <c r="P997" s="150"/>
      <c r="Q997" s="150"/>
      <c r="R997" s="150"/>
      <c r="S997" s="150"/>
      <c r="T997" s="186"/>
      <c r="U997" s="186"/>
      <c r="V997" s="186"/>
      <c r="W997" s="186"/>
      <c r="X997" s="186"/>
      <c r="Y997" s="186"/>
      <c r="Z997" s="186"/>
      <c r="AA997" s="186"/>
      <c r="AB997" s="186"/>
      <c r="AC997" s="186"/>
      <c r="AD997" s="186"/>
      <c r="AF997" s="150"/>
      <c r="AG997" s="150"/>
      <c r="AH997" s="150"/>
      <c r="AI997" s="150"/>
      <c r="AJ997" s="150"/>
      <c r="AK997" s="150"/>
      <c r="AL997" s="150"/>
      <c r="AM997" s="150"/>
      <c r="AN997" s="150"/>
      <c r="AO997" s="150"/>
      <c r="AP997" s="150"/>
      <c r="AQ997" s="150"/>
      <c r="AT997" s="186"/>
      <c r="AU997" s="186"/>
      <c r="AV997" s="186"/>
      <c r="AW997" s="186"/>
      <c r="AX997" s="186"/>
      <c r="AY997" s="186"/>
      <c r="AZ997" s="186"/>
      <c r="BA997" s="186"/>
      <c r="BB997" s="186"/>
      <c r="BC997" s="186"/>
      <c r="BD997" s="186"/>
      <c r="BE997" s="186"/>
      <c r="BF997" s="150"/>
      <c r="BG997" s="150"/>
    </row>
    <row r="998" spans="3:59" ht="14.6">
      <c r="C998" s="289"/>
      <c r="D998" s="150"/>
      <c r="E998" s="150"/>
      <c r="F998" s="150"/>
      <c r="G998" s="150"/>
      <c r="H998" s="150"/>
      <c r="I998" s="150"/>
      <c r="J998" s="150"/>
      <c r="K998" s="150"/>
      <c r="L998" s="150"/>
      <c r="M998" s="150"/>
      <c r="N998" s="150"/>
      <c r="O998" s="150"/>
      <c r="P998" s="150"/>
      <c r="Q998" s="150"/>
      <c r="R998" s="150"/>
      <c r="S998" s="150"/>
      <c r="T998" s="186"/>
      <c r="U998" s="186"/>
      <c r="V998" s="186"/>
      <c r="W998" s="186"/>
      <c r="X998" s="186"/>
      <c r="Y998" s="186"/>
      <c r="Z998" s="186"/>
      <c r="AA998" s="186"/>
      <c r="AB998" s="186"/>
      <c r="AC998" s="186"/>
      <c r="AD998" s="186"/>
      <c r="AF998" s="150"/>
      <c r="AG998" s="150"/>
      <c r="AH998" s="150"/>
      <c r="AI998" s="150"/>
      <c r="AJ998" s="150"/>
      <c r="AK998" s="150"/>
      <c r="AL998" s="150"/>
      <c r="AM998" s="150"/>
      <c r="AN998" s="150"/>
      <c r="AO998" s="150"/>
      <c r="AP998" s="150"/>
      <c r="AQ998" s="150"/>
      <c r="AT998" s="186"/>
      <c r="AU998" s="186"/>
      <c r="AV998" s="186"/>
      <c r="AW998" s="186"/>
      <c r="AX998" s="186"/>
      <c r="AY998" s="186"/>
      <c r="AZ998" s="186"/>
      <c r="BA998" s="186"/>
      <c r="BB998" s="186"/>
      <c r="BC998" s="186"/>
      <c r="BD998" s="186"/>
      <c r="BE998" s="186"/>
      <c r="BF998" s="150"/>
      <c r="BG998" s="150"/>
    </row>
    <row r="999" spans="3:59" ht="14.6">
      <c r="C999" s="289"/>
      <c r="D999" s="150"/>
      <c r="E999" s="150"/>
      <c r="F999" s="150"/>
      <c r="G999" s="150"/>
      <c r="H999" s="150"/>
      <c r="I999" s="150"/>
      <c r="J999" s="150"/>
      <c r="K999" s="150"/>
      <c r="L999" s="150"/>
      <c r="M999" s="150"/>
      <c r="N999" s="150"/>
      <c r="O999" s="150"/>
      <c r="P999" s="150"/>
      <c r="Q999" s="150"/>
      <c r="R999" s="150"/>
      <c r="S999" s="150"/>
      <c r="T999" s="186"/>
      <c r="U999" s="186"/>
      <c r="V999" s="186"/>
      <c r="W999" s="186"/>
      <c r="X999" s="186"/>
      <c r="Y999" s="186"/>
      <c r="Z999" s="186"/>
      <c r="AA999" s="186"/>
      <c r="AB999" s="186"/>
      <c r="AC999" s="186"/>
      <c r="AD999" s="186"/>
      <c r="AF999" s="150"/>
      <c r="AG999" s="150"/>
      <c r="AH999" s="150"/>
      <c r="AI999" s="150"/>
      <c r="AJ999" s="150"/>
      <c r="AK999" s="150"/>
      <c r="AL999" s="150"/>
      <c r="AM999" s="150"/>
      <c r="AN999" s="150"/>
      <c r="AO999" s="150"/>
      <c r="AP999" s="150"/>
      <c r="AQ999" s="150"/>
      <c r="AT999" s="186"/>
      <c r="AU999" s="186"/>
      <c r="AV999" s="186"/>
      <c r="AW999" s="186"/>
      <c r="AX999" s="186"/>
      <c r="AY999" s="186"/>
      <c r="AZ999" s="186"/>
      <c r="BA999" s="186"/>
      <c r="BB999" s="186"/>
      <c r="BC999" s="186"/>
      <c r="BD999" s="186"/>
      <c r="BE999" s="186"/>
      <c r="BF999" s="150"/>
      <c r="BG999" s="150"/>
    </row>
    <row r="1000" spans="3:59" ht="14.6">
      <c r="C1000" s="289"/>
      <c r="D1000" s="150"/>
      <c r="E1000" s="150"/>
      <c r="F1000" s="150"/>
      <c r="G1000" s="150"/>
      <c r="H1000" s="150"/>
      <c r="I1000" s="150"/>
      <c r="J1000" s="150"/>
      <c r="K1000" s="150"/>
      <c r="L1000" s="150"/>
      <c r="M1000" s="150"/>
      <c r="N1000" s="150"/>
      <c r="O1000" s="150"/>
      <c r="P1000" s="150"/>
      <c r="Q1000" s="150"/>
      <c r="R1000" s="150"/>
      <c r="S1000" s="150"/>
      <c r="T1000" s="186"/>
      <c r="U1000" s="186"/>
      <c r="V1000" s="186"/>
      <c r="W1000" s="186"/>
      <c r="X1000" s="186"/>
      <c r="Y1000" s="186"/>
      <c r="Z1000" s="186"/>
      <c r="AA1000" s="186"/>
      <c r="AB1000" s="186"/>
      <c r="AC1000" s="186"/>
      <c r="AD1000" s="186"/>
      <c r="AF1000" s="150"/>
      <c r="AG1000" s="150"/>
      <c r="AH1000" s="150"/>
      <c r="AI1000" s="150"/>
      <c r="AJ1000" s="150"/>
      <c r="AK1000" s="150"/>
      <c r="AL1000" s="150"/>
      <c r="AM1000" s="150"/>
      <c r="AN1000" s="150"/>
      <c r="AO1000" s="150"/>
      <c r="AP1000" s="150"/>
      <c r="AQ1000" s="150"/>
      <c r="AT1000" s="186"/>
      <c r="AU1000" s="186"/>
      <c r="AV1000" s="186"/>
      <c r="AW1000" s="186"/>
      <c r="AX1000" s="186"/>
      <c r="AY1000" s="186"/>
      <c r="AZ1000" s="186"/>
      <c r="BA1000" s="186"/>
      <c r="BB1000" s="186"/>
      <c r="BC1000" s="186"/>
      <c r="BD1000" s="186"/>
      <c r="BE1000" s="186"/>
      <c r="BF1000" s="150"/>
      <c r="BG1000" s="150"/>
    </row>
    <row r="1001" spans="3:59" ht="14.6">
      <c r="C1001" s="289"/>
      <c r="D1001" s="150"/>
      <c r="E1001" s="150"/>
      <c r="F1001" s="150"/>
      <c r="G1001" s="150"/>
      <c r="H1001" s="150"/>
      <c r="I1001" s="150"/>
      <c r="J1001" s="150"/>
      <c r="K1001" s="150"/>
      <c r="L1001" s="150"/>
      <c r="M1001" s="150"/>
      <c r="N1001" s="150"/>
      <c r="O1001" s="150"/>
      <c r="P1001" s="150"/>
      <c r="Q1001" s="150"/>
      <c r="R1001" s="150"/>
      <c r="S1001" s="150"/>
      <c r="T1001" s="186"/>
      <c r="U1001" s="186"/>
      <c r="V1001" s="186"/>
      <c r="W1001" s="186"/>
      <c r="X1001" s="186"/>
      <c r="Y1001" s="186"/>
      <c r="Z1001" s="186"/>
      <c r="AA1001" s="186"/>
      <c r="AB1001" s="186"/>
      <c r="AC1001" s="186"/>
      <c r="AD1001" s="186"/>
      <c r="AF1001" s="150"/>
      <c r="AG1001" s="150"/>
      <c r="AH1001" s="150"/>
      <c r="AI1001" s="150"/>
      <c r="AJ1001" s="150"/>
      <c r="AK1001" s="150"/>
      <c r="AL1001" s="150"/>
      <c r="AM1001" s="150"/>
      <c r="AN1001" s="150"/>
      <c r="AO1001" s="150"/>
      <c r="AP1001" s="150"/>
      <c r="AQ1001" s="150"/>
      <c r="AT1001" s="186"/>
      <c r="AU1001" s="186"/>
      <c r="AV1001" s="186"/>
      <c r="AW1001" s="186"/>
      <c r="AX1001" s="186"/>
      <c r="AY1001" s="186"/>
      <c r="AZ1001" s="186"/>
      <c r="BA1001" s="186"/>
      <c r="BB1001" s="186"/>
      <c r="BC1001" s="186"/>
      <c r="BD1001" s="186"/>
      <c r="BE1001" s="186"/>
      <c r="BF1001" s="150"/>
      <c r="BG1001" s="150"/>
    </row>
    <row r="1002" spans="3:59" ht="14.6">
      <c r="C1002" s="289"/>
      <c r="D1002" s="150"/>
      <c r="E1002" s="150"/>
      <c r="F1002" s="150"/>
      <c r="G1002" s="150"/>
      <c r="H1002" s="150"/>
      <c r="I1002" s="150"/>
      <c r="J1002" s="150"/>
      <c r="K1002" s="150"/>
      <c r="L1002" s="150"/>
      <c r="M1002" s="150"/>
      <c r="N1002" s="150"/>
      <c r="O1002" s="150"/>
      <c r="P1002" s="150"/>
      <c r="Q1002" s="150"/>
      <c r="R1002" s="150"/>
      <c r="S1002" s="150"/>
      <c r="T1002" s="186"/>
      <c r="U1002" s="186"/>
      <c r="V1002" s="186"/>
      <c r="W1002" s="186"/>
      <c r="X1002" s="186"/>
      <c r="Y1002" s="186"/>
      <c r="Z1002" s="186"/>
      <c r="AA1002" s="186"/>
      <c r="AB1002" s="186"/>
      <c r="AC1002" s="186"/>
      <c r="AD1002" s="186"/>
      <c r="AF1002" s="150"/>
      <c r="AG1002" s="150"/>
      <c r="AH1002" s="150"/>
      <c r="AI1002" s="150"/>
      <c r="AJ1002" s="150"/>
      <c r="AK1002" s="150"/>
      <c r="AL1002" s="150"/>
      <c r="AM1002" s="150"/>
      <c r="AN1002" s="150"/>
      <c r="AO1002" s="150"/>
      <c r="AP1002" s="150"/>
      <c r="AQ1002" s="150"/>
      <c r="AT1002" s="186"/>
      <c r="AU1002" s="186"/>
      <c r="AV1002" s="186"/>
      <c r="AW1002" s="186"/>
      <c r="AX1002" s="186"/>
      <c r="AY1002" s="186"/>
      <c r="AZ1002" s="186"/>
      <c r="BA1002" s="186"/>
      <c r="BB1002" s="186"/>
      <c r="BC1002" s="186"/>
      <c r="BD1002" s="186"/>
      <c r="BE1002" s="186"/>
      <c r="BF1002" s="150"/>
      <c r="BG1002" s="150"/>
    </row>
    <row r="1003" spans="3:59" ht="14.6">
      <c r="C1003" s="289"/>
      <c r="D1003" s="150"/>
      <c r="E1003" s="150"/>
      <c r="F1003" s="150"/>
      <c r="G1003" s="150"/>
      <c r="H1003" s="150"/>
      <c r="I1003" s="150"/>
      <c r="J1003" s="150"/>
      <c r="K1003" s="150"/>
      <c r="L1003" s="150"/>
      <c r="M1003" s="150"/>
      <c r="N1003" s="150"/>
      <c r="O1003" s="150"/>
      <c r="P1003" s="150"/>
      <c r="Q1003" s="150"/>
      <c r="R1003" s="150"/>
      <c r="S1003" s="150"/>
      <c r="T1003" s="186"/>
      <c r="U1003" s="186"/>
      <c r="V1003" s="186"/>
      <c r="W1003" s="186"/>
      <c r="X1003" s="186"/>
      <c r="Y1003" s="186"/>
      <c r="Z1003" s="186"/>
      <c r="AA1003" s="186"/>
      <c r="AB1003" s="186"/>
      <c r="AC1003" s="186"/>
      <c r="AD1003" s="186"/>
      <c r="AF1003" s="150"/>
      <c r="AG1003" s="150"/>
      <c r="AH1003" s="150"/>
      <c r="AI1003" s="150"/>
      <c r="AJ1003" s="150"/>
      <c r="AK1003" s="150"/>
      <c r="AL1003" s="150"/>
      <c r="AM1003" s="150"/>
      <c r="AN1003" s="150"/>
      <c r="AO1003" s="150"/>
      <c r="AP1003" s="150"/>
      <c r="AQ1003" s="150"/>
      <c r="AT1003" s="186"/>
      <c r="AU1003" s="186"/>
      <c r="AV1003" s="186"/>
      <c r="AW1003" s="186"/>
      <c r="AX1003" s="186"/>
      <c r="AY1003" s="186"/>
      <c r="AZ1003" s="186"/>
      <c r="BA1003" s="186"/>
      <c r="BB1003" s="186"/>
      <c r="BC1003" s="186"/>
      <c r="BD1003" s="186"/>
      <c r="BE1003" s="186"/>
      <c r="BF1003" s="150"/>
      <c r="BG1003" s="150"/>
    </row>
    <row r="1004" spans="3:59" ht="14.6">
      <c r="C1004" s="289"/>
      <c r="D1004" s="150"/>
      <c r="E1004" s="150"/>
      <c r="F1004" s="150"/>
      <c r="G1004" s="150"/>
      <c r="H1004" s="150"/>
      <c r="I1004" s="150"/>
      <c r="J1004" s="150"/>
      <c r="K1004" s="150"/>
      <c r="L1004" s="150"/>
      <c r="M1004" s="150"/>
      <c r="N1004" s="150"/>
      <c r="O1004" s="150"/>
      <c r="P1004" s="150"/>
      <c r="Q1004" s="150"/>
      <c r="R1004" s="150"/>
      <c r="S1004" s="150"/>
      <c r="T1004" s="186"/>
      <c r="U1004" s="186"/>
      <c r="V1004" s="186"/>
      <c r="W1004" s="186"/>
      <c r="X1004" s="186"/>
      <c r="Y1004" s="186"/>
      <c r="Z1004" s="186"/>
      <c r="AA1004" s="186"/>
      <c r="AB1004" s="186"/>
      <c r="AC1004" s="186"/>
      <c r="AD1004" s="186"/>
      <c r="AF1004" s="150"/>
      <c r="AG1004" s="150"/>
      <c r="AH1004" s="150"/>
      <c r="AI1004" s="150"/>
      <c r="AJ1004" s="150"/>
      <c r="AK1004" s="150"/>
      <c r="AL1004" s="150"/>
      <c r="AM1004" s="150"/>
      <c r="AN1004" s="150"/>
      <c r="AO1004" s="150"/>
      <c r="AP1004" s="150"/>
      <c r="AQ1004" s="150"/>
      <c r="AT1004" s="186"/>
      <c r="AU1004" s="186"/>
      <c r="AV1004" s="186"/>
      <c r="AW1004" s="186"/>
      <c r="AX1004" s="186"/>
      <c r="AY1004" s="186"/>
      <c r="AZ1004" s="186"/>
      <c r="BA1004" s="186"/>
      <c r="BB1004" s="186"/>
      <c r="BC1004" s="186"/>
      <c r="BD1004" s="186"/>
      <c r="BE1004" s="186"/>
      <c r="BF1004" s="150"/>
      <c r="BG1004" s="150"/>
    </row>
    <row r="1005" spans="3:59" ht="14.6">
      <c r="C1005" s="289"/>
      <c r="D1005" s="150"/>
      <c r="E1005" s="150"/>
      <c r="F1005" s="150"/>
      <c r="G1005" s="150"/>
      <c r="H1005" s="150"/>
      <c r="I1005" s="150"/>
      <c r="J1005" s="150"/>
      <c r="K1005" s="150"/>
      <c r="L1005" s="150"/>
      <c r="M1005" s="150"/>
      <c r="N1005" s="150"/>
      <c r="O1005" s="150"/>
      <c r="P1005" s="150"/>
      <c r="Q1005" s="150"/>
      <c r="R1005" s="150"/>
      <c r="S1005" s="150"/>
      <c r="T1005" s="186"/>
      <c r="U1005" s="186"/>
      <c r="V1005" s="186"/>
      <c r="W1005" s="186"/>
      <c r="X1005" s="186"/>
      <c r="Y1005" s="186"/>
      <c r="Z1005" s="186"/>
      <c r="AA1005" s="186"/>
      <c r="AB1005" s="186"/>
      <c r="AC1005" s="186"/>
      <c r="AD1005" s="186"/>
      <c r="AF1005" s="150"/>
      <c r="AG1005" s="150"/>
      <c r="AH1005" s="150"/>
      <c r="AI1005" s="150"/>
      <c r="AJ1005" s="150"/>
      <c r="AK1005" s="150"/>
      <c r="AL1005" s="150"/>
      <c r="AM1005" s="150"/>
      <c r="AN1005" s="150"/>
      <c r="AO1005" s="150"/>
      <c r="AP1005" s="150"/>
      <c r="AQ1005" s="150"/>
      <c r="AT1005" s="186"/>
      <c r="AU1005" s="186"/>
      <c r="AV1005" s="186"/>
      <c r="AW1005" s="186"/>
      <c r="AX1005" s="186"/>
      <c r="AY1005" s="186"/>
      <c r="AZ1005" s="186"/>
      <c r="BA1005" s="186"/>
      <c r="BB1005" s="186"/>
      <c r="BC1005" s="186"/>
      <c r="BD1005" s="186"/>
      <c r="BE1005" s="186"/>
      <c r="BF1005" s="150"/>
      <c r="BG1005" s="150"/>
    </row>
    <row r="1006" spans="3:59" ht="14.6">
      <c r="C1006" s="289"/>
      <c r="D1006" s="150"/>
      <c r="E1006" s="150"/>
      <c r="F1006" s="150"/>
      <c r="G1006" s="150"/>
      <c r="H1006" s="150"/>
      <c r="I1006" s="150"/>
      <c r="J1006" s="150"/>
      <c r="K1006" s="150"/>
      <c r="L1006" s="150"/>
      <c r="M1006" s="150"/>
      <c r="N1006" s="150"/>
      <c r="O1006" s="150"/>
      <c r="P1006" s="150"/>
      <c r="Q1006" s="150"/>
      <c r="R1006" s="150"/>
      <c r="S1006" s="150"/>
      <c r="T1006" s="186"/>
      <c r="U1006" s="186"/>
      <c r="V1006" s="186"/>
      <c r="W1006" s="186"/>
      <c r="X1006" s="186"/>
      <c r="Y1006" s="186"/>
      <c r="Z1006" s="186"/>
      <c r="AA1006" s="186"/>
      <c r="AB1006" s="186"/>
      <c r="AC1006" s="186"/>
      <c r="AD1006" s="186"/>
      <c r="AF1006" s="150"/>
      <c r="AG1006" s="150"/>
      <c r="AH1006" s="150"/>
      <c r="AI1006" s="150"/>
      <c r="AJ1006" s="150"/>
      <c r="AK1006" s="150"/>
      <c r="AL1006" s="150"/>
      <c r="AM1006" s="150"/>
      <c r="AN1006" s="150"/>
      <c r="AO1006" s="150"/>
      <c r="AP1006" s="150"/>
      <c r="AQ1006" s="150"/>
      <c r="AT1006" s="186"/>
      <c r="AU1006" s="186"/>
      <c r="AV1006" s="186"/>
      <c r="AW1006" s="186"/>
      <c r="AX1006" s="186"/>
      <c r="AY1006" s="186"/>
      <c r="AZ1006" s="186"/>
      <c r="BA1006" s="186"/>
      <c r="BB1006" s="186"/>
      <c r="BC1006" s="186"/>
      <c r="BD1006" s="186"/>
      <c r="BE1006" s="186"/>
      <c r="BF1006" s="150"/>
      <c r="BG1006" s="150"/>
    </row>
    <row r="1007" spans="3:59" ht="14.6">
      <c r="C1007" s="289"/>
      <c r="D1007" s="150"/>
      <c r="E1007" s="150"/>
      <c r="F1007" s="150"/>
      <c r="G1007" s="150"/>
      <c r="H1007" s="150"/>
      <c r="I1007" s="150"/>
      <c r="J1007" s="150"/>
      <c r="K1007" s="150"/>
      <c r="L1007" s="150"/>
      <c r="M1007" s="150"/>
      <c r="N1007" s="150"/>
      <c r="O1007" s="150"/>
      <c r="P1007" s="150"/>
      <c r="Q1007" s="150"/>
      <c r="R1007" s="150"/>
      <c r="S1007" s="150"/>
      <c r="T1007" s="186"/>
      <c r="U1007" s="186"/>
      <c r="V1007" s="186"/>
      <c r="W1007" s="186"/>
      <c r="X1007" s="186"/>
      <c r="Y1007" s="186"/>
      <c r="Z1007" s="186"/>
      <c r="AA1007" s="186"/>
      <c r="AB1007" s="186"/>
      <c r="AC1007" s="186"/>
      <c r="AD1007" s="186"/>
      <c r="AF1007" s="150"/>
      <c r="AG1007" s="150"/>
      <c r="AH1007" s="150"/>
      <c r="AI1007" s="150"/>
      <c r="AJ1007" s="150"/>
      <c r="AK1007" s="150"/>
      <c r="AL1007" s="150"/>
      <c r="AM1007" s="150"/>
      <c r="AN1007" s="150"/>
      <c r="AO1007" s="150"/>
      <c r="AP1007" s="150"/>
      <c r="AQ1007" s="150"/>
      <c r="AT1007" s="186"/>
      <c r="AU1007" s="186"/>
      <c r="AV1007" s="186"/>
      <c r="AW1007" s="186"/>
      <c r="AX1007" s="186"/>
      <c r="AY1007" s="186"/>
      <c r="AZ1007" s="186"/>
      <c r="BA1007" s="186"/>
      <c r="BB1007" s="186"/>
      <c r="BC1007" s="186"/>
      <c r="BD1007" s="186"/>
      <c r="BE1007" s="186"/>
      <c r="BF1007" s="150"/>
      <c r="BG1007" s="150"/>
    </row>
    <row r="1008" spans="3:59" ht="14.6">
      <c r="C1008" s="289"/>
      <c r="D1008" s="150"/>
      <c r="E1008" s="150"/>
      <c r="F1008" s="150"/>
      <c r="G1008" s="150"/>
      <c r="H1008" s="150"/>
      <c r="I1008" s="150"/>
      <c r="J1008" s="150"/>
      <c r="K1008" s="150"/>
      <c r="L1008" s="150"/>
      <c r="M1008" s="150"/>
      <c r="N1008" s="150"/>
      <c r="O1008" s="150"/>
      <c r="P1008" s="150"/>
      <c r="Q1008" s="150"/>
      <c r="R1008" s="150"/>
      <c r="S1008" s="150"/>
      <c r="T1008" s="186"/>
      <c r="U1008" s="186"/>
      <c r="V1008" s="186"/>
      <c r="W1008" s="186"/>
      <c r="X1008" s="186"/>
      <c r="Y1008" s="186"/>
      <c r="Z1008" s="186"/>
      <c r="AA1008" s="186"/>
      <c r="AB1008" s="186"/>
      <c r="AC1008" s="186"/>
      <c r="AD1008" s="186"/>
      <c r="AF1008" s="150"/>
      <c r="AG1008" s="150"/>
      <c r="AH1008" s="150"/>
      <c r="AI1008" s="150"/>
      <c r="AJ1008" s="150"/>
      <c r="AK1008" s="150"/>
      <c r="AL1008" s="150"/>
      <c r="AM1008" s="150"/>
      <c r="AN1008" s="150"/>
      <c r="AO1008" s="150"/>
      <c r="AP1008" s="150"/>
      <c r="AQ1008" s="150"/>
      <c r="AT1008" s="186"/>
      <c r="AU1008" s="186"/>
      <c r="AV1008" s="186"/>
      <c r="AW1008" s="186"/>
      <c r="AX1008" s="186"/>
      <c r="AY1008" s="186"/>
      <c r="AZ1008" s="186"/>
      <c r="BA1008" s="186"/>
      <c r="BB1008" s="186"/>
      <c r="BC1008" s="186"/>
      <c r="BD1008" s="186"/>
      <c r="BE1008" s="186"/>
      <c r="BF1008" s="150"/>
      <c r="BG1008" s="150"/>
    </row>
    <row r="1009" spans="3:59" ht="14.6">
      <c r="C1009" s="289"/>
      <c r="D1009" s="150"/>
      <c r="E1009" s="150"/>
      <c r="F1009" s="150"/>
      <c r="G1009" s="150"/>
      <c r="H1009" s="150"/>
      <c r="I1009" s="150"/>
      <c r="J1009" s="150"/>
      <c r="K1009" s="150"/>
      <c r="L1009" s="150"/>
      <c r="M1009" s="150"/>
      <c r="N1009" s="150"/>
      <c r="O1009" s="150"/>
      <c r="P1009" s="150"/>
      <c r="Q1009" s="150"/>
      <c r="R1009" s="150"/>
      <c r="S1009" s="150"/>
      <c r="T1009" s="186"/>
      <c r="U1009" s="186"/>
      <c r="V1009" s="186"/>
      <c r="W1009" s="186"/>
      <c r="X1009" s="186"/>
      <c r="Y1009" s="186"/>
      <c r="Z1009" s="186"/>
      <c r="AA1009" s="186"/>
      <c r="AB1009" s="186"/>
      <c r="AC1009" s="186"/>
      <c r="AD1009" s="186"/>
      <c r="AF1009" s="150"/>
      <c r="AG1009" s="150"/>
      <c r="AH1009" s="150"/>
      <c r="AI1009" s="150"/>
      <c r="AJ1009" s="150"/>
      <c r="AK1009" s="150"/>
      <c r="AL1009" s="150"/>
      <c r="AM1009" s="150"/>
      <c r="AN1009" s="150"/>
      <c r="AO1009" s="150"/>
      <c r="AP1009" s="150"/>
      <c r="AQ1009" s="150"/>
      <c r="AT1009" s="186"/>
      <c r="AU1009" s="186"/>
      <c r="AV1009" s="186"/>
      <c r="AW1009" s="186"/>
      <c r="AX1009" s="186"/>
      <c r="AY1009" s="186"/>
      <c r="AZ1009" s="186"/>
      <c r="BA1009" s="186"/>
      <c r="BB1009" s="186"/>
      <c r="BC1009" s="186"/>
      <c r="BD1009" s="186"/>
      <c r="BE1009" s="186"/>
      <c r="BF1009" s="150"/>
      <c r="BG1009" s="150"/>
    </row>
    <row r="1010" spans="3:59" ht="14.6">
      <c r="C1010" s="289"/>
      <c r="D1010" s="150"/>
      <c r="E1010" s="150"/>
      <c r="F1010" s="150"/>
      <c r="G1010" s="150"/>
      <c r="H1010" s="150"/>
      <c r="I1010" s="150"/>
      <c r="J1010" s="150"/>
      <c r="K1010" s="150"/>
      <c r="L1010" s="150"/>
      <c r="M1010" s="150"/>
      <c r="N1010" s="150"/>
      <c r="O1010" s="150"/>
      <c r="P1010" s="150"/>
      <c r="Q1010" s="150"/>
      <c r="R1010" s="150"/>
      <c r="S1010" s="150"/>
      <c r="T1010" s="186"/>
      <c r="U1010" s="186"/>
      <c r="V1010" s="186"/>
      <c r="W1010" s="186"/>
      <c r="X1010" s="186"/>
      <c r="Y1010" s="186"/>
      <c r="Z1010" s="186"/>
      <c r="AA1010" s="186"/>
      <c r="AB1010" s="186"/>
      <c r="AC1010" s="186"/>
      <c r="AD1010" s="186"/>
      <c r="AF1010" s="150"/>
      <c r="AG1010" s="150"/>
      <c r="AH1010" s="150"/>
      <c r="AI1010" s="150"/>
      <c r="AJ1010" s="150"/>
      <c r="AK1010" s="150"/>
      <c r="AL1010" s="150"/>
      <c r="AM1010" s="150"/>
      <c r="AN1010" s="150"/>
      <c r="AO1010" s="150"/>
      <c r="AP1010" s="150"/>
      <c r="AQ1010" s="150"/>
      <c r="AT1010" s="186"/>
      <c r="AU1010" s="186"/>
      <c r="AV1010" s="186"/>
      <c r="AW1010" s="186"/>
      <c r="AX1010" s="186"/>
      <c r="AY1010" s="186"/>
      <c r="AZ1010" s="186"/>
      <c r="BA1010" s="186"/>
      <c r="BB1010" s="186"/>
      <c r="BC1010" s="186"/>
      <c r="BD1010" s="186"/>
      <c r="BE1010" s="186"/>
      <c r="BF1010" s="150"/>
      <c r="BG1010" s="150"/>
    </row>
    <row r="1011" spans="3:59" ht="14.6">
      <c r="C1011" s="289"/>
      <c r="D1011" s="150"/>
      <c r="E1011" s="150"/>
      <c r="F1011" s="150"/>
      <c r="G1011" s="150"/>
      <c r="H1011" s="150"/>
      <c r="I1011" s="150"/>
      <c r="J1011" s="150"/>
      <c r="K1011" s="150"/>
      <c r="L1011" s="150"/>
      <c r="M1011" s="150"/>
      <c r="N1011" s="150"/>
      <c r="O1011" s="150"/>
      <c r="P1011" s="150"/>
      <c r="Q1011" s="150"/>
      <c r="R1011" s="150"/>
      <c r="S1011" s="150"/>
      <c r="T1011" s="186"/>
      <c r="U1011" s="186"/>
      <c r="V1011" s="186"/>
      <c r="W1011" s="186"/>
      <c r="X1011" s="186"/>
      <c r="Y1011" s="186"/>
      <c r="Z1011" s="186"/>
      <c r="AA1011" s="186"/>
      <c r="AB1011" s="186"/>
      <c r="AC1011" s="186"/>
      <c r="AD1011" s="186"/>
      <c r="AF1011" s="150"/>
      <c r="AG1011" s="150"/>
      <c r="AH1011" s="150"/>
      <c r="AI1011" s="150"/>
      <c r="AJ1011" s="150"/>
      <c r="AK1011" s="150"/>
      <c r="AL1011" s="150"/>
      <c r="AM1011" s="150"/>
      <c r="AN1011" s="150"/>
      <c r="AO1011" s="150"/>
      <c r="AP1011" s="150"/>
      <c r="AQ1011" s="150"/>
      <c r="AT1011" s="186"/>
      <c r="AU1011" s="186"/>
      <c r="AV1011" s="186"/>
      <c r="AW1011" s="186"/>
      <c r="AX1011" s="186"/>
      <c r="AY1011" s="186"/>
      <c r="AZ1011" s="186"/>
      <c r="BA1011" s="186"/>
      <c r="BB1011" s="186"/>
      <c r="BC1011" s="186"/>
      <c r="BD1011" s="186"/>
      <c r="BE1011" s="186"/>
      <c r="BF1011" s="150"/>
      <c r="BG1011" s="150"/>
    </row>
    <row r="1012" spans="3:59" ht="14.6">
      <c r="C1012" s="289"/>
      <c r="D1012" s="150"/>
      <c r="E1012" s="150"/>
      <c r="F1012" s="150"/>
      <c r="G1012" s="150"/>
      <c r="H1012" s="150"/>
      <c r="I1012" s="150"/>
      <c r="J1012" s="150"/>
      <c r="K1012" s="150"/>
      <c r="L1012" s="150"/>
      <c r="M1012" s="150"/>
      <c r="N1012" s="150"/>
      <c r="O1012" s="150"/>
      <c r="P1012" s="150"/>
      <c r="Q1012" s="150"/>
      <c r="R1012" s="150"/>
      <c r="S1012" s="150"/>
      <c r="T1012" s="186"/>
      <c r="U1012" s="186"/>
      <c r="V1012" s="186"/>
      <c r="W1012" s="186"/>
      <c r="X1012" s="186"/>
      <c r="Y1012" s="186"/>
      <c r="Z1012" s="186"/>
      <c r="AA1012" s="186"/>
      <c r="AB1012" s="186"/>
      <c r="AC1012" s="186"/>
      <c r="AD1012" s="186"/>
      <c r="AF1012" s="150"/>
      <c r="AG1012" s="150"/>
      <c r="AH1012" s="150"/>
      <c r="AI1012" s="150"/>
      <c r="AJ1012" s="150"/>
      <c r="AK1012" s="150"/>
      <c r="AL1012" s="150"/>
      <c r="AM1012" s="150"/>
      <c r="AN1012" s="150"/>
      <c r="AO1012" s="150"/>
      <c r="AP1012" s="150"/>
      <c r="AQ1012" s="150"/>
      <c r="AT1012" s="186"/>
      <c r="AU1012" s="186"/>
      <c r="AV1012" s="186"/>
      <c r="AW1012" s="186"/>
      <c r="AX1012" s="186"/>
      <c r="AY1012" s="186"/>
      <c r="AZ1012" s="186"/>
      <c r="BA1012" s="186"/>
      <c r="BB1012" s="186"/>
      <c r="BC1012" s="186"/>
      <c r="BD1012" s="186"/>
      <c r="BE1012" s="186"/>
      <c r="BF1012" s="150"/>
      <c r="BG1012" s="150"/>
    </row>
    <row r="1013" spans="3:59" ht="14.6">
      <c r="C1013" s="289"/>
      <c r="D1013" s="150"/>
      <c r="E1013" s="150"/>
      <c r="F1013" s="150"/>
      <c r="G1013" s="150"/>
      <c r="H1013" s="150"/>
      <c r="I1013" s="150"/>
      <c r="J1013" s="150"/>
      <c r="K1013" s="150"/>
      <c r="L1013" s="150"/>
      <c r="M1013" s="150"/>
      <c r="N1013" s="150"/>
      <c r="O1013" s="150"/>
      <c r="P1013" s="150"/>
      <c r="Q1013" s="150"/>
      <c r="R1013" s="150"/>
      <c r="S1013" s="150"/>
      <c r="T1013" s="186"/>
      <c r="U1013" s="186"/>
      <c r="V1013" s="186"/>
      <c r="W1013" s="186"/>
      <c r="X1013" s="186"/>
      <c r="Y1013" s="186"/>
      <c r="Z1013" s="186"/>
      <c r="AA1013" s="186"/>
      <c r="AB1013" s="186"/>
      <c r="AC1013" s="186"/>
      <c r="AD1013" s="186"/>
      <c r="AF1013" s="150"/>
      <c r="AG1013" s="150"/>
      <c r="AH1013" s="150"/>
      <c r="AI1013" s="150"/>
      <c r="AJ1013" s="150"/>
      <c r="AK1013" s="150"/>
      <c r="AL1013" s="150"/>
      <c r="AM1013" s="150"/>
      <c r="AN1013" s="150"/>
      <c r="AO1013" s="150"/>
      <c r="AP1013" s="150"/>
      <c r="AQ1013" s="150"/>
      <c r="AT1013" s="186"/>
      <c r="AU1013" s="186"/>
      <c r="AV1013" s="186"/>
      <c r="AW1013" s="186"/>
      <c r="AX1013" s="186"/>
      <c r="AY1013" s="186"/>
      <c r="AZ1013" s="186"/>
      <c r="BA1013" s="186"/>
      <c r="BB1013" s="186"/>
      <c r="BC1013" s="186"/>
      <c r="BD1013" s="186"/>
      <c r="BE1013" s="186"/>
      <c r="BF1013" s="150"/>
      <c r="BG1013" s="150"/>
    </row>
    <row r="1014" spans="3:59" ht="14.6">
      <c r="C1014" s="289"/>
      <c r="D1014" s="150"/>
      <c r="E1014" s="150"/>
      <c r="F1014" s="150"/>
      <c r="G1014" s="150"/>
      <c r="H1014" s="150"/>
      <c r="I1014" s="150"/>
      <c r="J1014" s="150"/>
      <c r="K1014" s="150"/>
      <c r="L1014" s="150"/>
      <c r="M1014" s="150"/>
      <c r="N1014" s="150"/>
      <c r="O1014" s="150"/>
      <c r="P1014" s="150"/>
      <c r="Q1014" s="150"/>
      <c r="R1014" s="150"/>
      <c r="S1014" s="150"/>
      <c r="T1014" s="186"/>
      <c r="U1014" s="186"/>
      <c r="V1014" s="186"/>
      <c r="W1014" s="186"/>
      <c r="X1014" s="186"/>
      <c r="Y1014" s="186"/>
      <c r="Z1014" s="186"/>
      <c r="AA1014" s="186"/>
      <c r="AB1014" s="186"/>
      <c r="AC1014" s="186"/>
      <c r="AD1014" s="186"/>
      <c r="AF1014" s="150"/>
      <c r="AG1014" s="150"/>
      <c r="AH1014" s="150"/>
      <c r="AI1014" s="150"/>
      <c r="AJ1014" s="150"/>
      <c r="AK1014" s="150"/>
      <c r="AL1014" s="150"/>
      <c r="AM1014" s="150"/>
      <c r="AN1014" s="150"/>
      <c r="AO1014" s="150"/>
      <c r="AP1014" s="150"/>
      <c r="AQ1014" s="150"/>
      <c r="AT1014" s="186"/>
      <c r="AU1014" s="186"/>
      <c r="AV1014" s="186"/>
      <c r="AW1014" s="186"/>
      <c r="AX1014" s="186"/>
      <c r="AY1014" s="186"/>
      <c r="AZ1014" s="186"/>
      <c r="BA1014" s="186"/>
      <c r="BB1014" s="186"/>
      <c r="BC1014" s="186"/>
      <c r="BD1014" s="186"/>
      <c r="BE1014" s="186"/>
      <c r="BF1014" s="150"/>
      <c r="BG1014" s="150"/>
    </row>
    <row r="1015" spans="3:59" ht="14.6">
      <c r="C1015" s="289"/>
      <c r="D1015" s="150"/>
      <c r="E1015" s="150"/>
      <c r="F1015" s="150"/>
      <c r="G1015" s="150"/>
      <c r="H1015" s="150"/>
      <c r="I1015" s="150"/>
      <c r="J1015" s="150"/>
      <c r="K1015" s="150"/>
      <c r="L1015" s="150"/>
      <c r="M1015" s="150"/>
      <c r="N1015" s="150"/>
      <c r="O1015" s="150"/>
      <c r="P1015" s="150"/>
      <c r="Q1015" s="150"/>
      <c r="R1015" s="150"/>
      <c r="S1015" s="150"/>
      <c r="T1015" s="186"/>
      <c r="U1015" s="186"/>
      <c r="V1015" s="186"/>
      <c r="W1015" s="186"/>
      <c r="X1015" s="186"/>
      <c r="Y1015" s="186"/>
      <c r="Z1015" s="186"/>
      <c r="AA1015" s="186"/>
      <c r="AB1015" s="186"/>
      <c r="AC1015" s="186"/>
      <c r="AD1015" s="186"/>
      <c r="AF1015" s="150"/>
      <c r="AG1015" s="150"/>
      <c r="AH1015" s="150"/>
      <c r="AI1015" s="150"/>
      <c r="AJ1015" s="150"/>
      <c r="AK1015" s="150"/>
      <c r="AL1015" s="150"/>
      <c r="AM1015" s="150"/>
      <c r="AN1015" s="150"/>
      <c r="AO1015" s="150"/>
      <c r="AP1015" s="150"/>
      <c r="AQ1015" s="150"/>
      <c r="AT1015" s="186"/>
      <c r="AU1015" s="186"/>
      <c r="AV1015" s="186"/>
      <c r="AW1015" s="186"/>
      <c r="AX1015" s="186"/>
      <c r="AY1015" s="186"/>
      <c r="AZ1015" s="186"/>
      <c r="BA1015" s="186"/>
      <c r="BB1015" s="186"/>
      <c r="BC1015" s="186"/>
      <c r="BD1015" s="186"/>
      <c r="BE1015" s="186"/>
      <c r="BF1015" s="150"/>
      <c r="BG1015" s="150"/>
    </row>
    <row r="1016" spans="3:59" ht="14.6">
      <c r="C1016" s="289"/>
      <c r="D1016" s="150"/>
      <c r="E1016" s="150"/>
      <c r="F1016" s="150"/>
      <c r="G1016" s="150"/>
      <c r="H1016" s="150"/>
      <c r="I1016" s="150"/>
      <c r="J1016" s="150"/>
      <c r="K1016" s="150"/>
      <c r="L1016" s="150"/>
      <c r="M1016" s="150"/>
      <c r="N1016" s="150"/>
      <c r="O1016" s="150"/>
      <c r="P1016" s="150"/>
      <c r="Q1016" s="150"/>
      <c r="R1016" s="150"/>
      <c r="S1016" s="150"/>
      <c r="T1016" s="186"/>
      <c r="U1016" s="186"/>
      <c r="V1016" s="186"/>
      <c r="W1016" s="186"/>
      <c r="X1016" s="186"/>
      <c r="Y1016" s="186"/>
      <c r="Z1016" s="186"/>
      <c r="AA1016" s="186"/>
      <c r="AB1016" s="186"/>
      <c r="AC1016" s="186"/>
      <c r="AD1016" s="186"/>
      <c r="AF1016" s="150"/>
      <c r="AG1016" s="150"/>
      <c r="AH1016" s="150"/>
      <c r="AI1016" s="150"/>
      <c r="AJ1016" s="150"/>
      <c r="AK1016" s="150"/>
      <c r="AL1016" s="150"/>
      <c r="AM1016" s="150"/>
      <c r="AN1016" s="150"/>
      <c r="AO1016" s="150"/>
      <c r="AP1016" s="150"/>
      <c r="AQ1016" s="150"/>
      <c r="AT1016" s="186"/>
      <c r="AU1016" s="186"/>
      <c r="AV1016" s="186"/>
      <c r="AW1016" s="186"/>
      <c r="AX1016" s="186"/>
      <c r="AY1016" s="186"/>
      <c r="AZ1016" s="186"/>
      <c r="BA1016" s="186"/>
      <c r="BB1016" s="186"/>
      <c r="BC1016" s="186"/>
      <c r="BD1016" s="186"/>
      <c r="BE1016" s="186"/>
      <c r="BF1016" s="150"/>
      <c r="BG1016" s="150"/>
    </row>
    <row r="1017" spans="3:59" ht="14.6">
      <c r="C1017" s="289"/>
      <c r="D1017" s="150"/>
      <c r="E1017" s="150"/>
      <c r="F1017" s="150"/>
      <c r="G1017" s="150"/>
      <c r="H1017" s="150"/>
      <c r="I1017" s="150"/>
      <c r="J1017" s="150"/>
      <c r="K1017" s="150"/>
      <c r="L1017" s="150"/>
      <c r="M1017" s="150"/>
      <c r="N1017" s="150"/>
      <c r="O1017" s="150"/>
      <c r="P1017" s="150"/>
      <c r="Q1017" s="150"/>
      <c r="R1017" s="150"/>
      <c r="S1017" s="150"/>
      <c r="T1017" s="186"/>
      <c r="U1017" s="186"/>
      <c r="V1017" s="186"/>
      <c r="W1017" s="186"/>
      <c r="X1017" s="186"/>
      <c r="Y1017" s="186"/>
      <c r="Z1017" s="186"/>
      <c r="AA1017" s="186"/>
      <c r="AB1017" s="186"/>
      <c r="AC1017" s="186"/>
      <c r="AD1017" s="186"/>
      <c r="AF1017" s="150"/>
      <c r="AG1017" s="150"/>
      <c r="AH1017" s="150"/>
      <c r="AI1017" s="150"/>
      <c r="AJ1017" s="150"/>
      <c r="AK1017" s="150"/>
      <c r="AL1017" s="150"/>
      <c r="AM1017" s="150"/>
      <c r="AN1017" s="150"/>
      <c r="AO1017" s="150"/>
      <c r="AP1017" s="150"/>
      <c r="AQ1017" s="150"/>
      <c r="AT1017" s="186"/>
      <c r="AU1017" s="186"/>
      <c r="AV1017" s="186"/>
      <c r="AW1017" s="186"/>
      <c r="AX1017" s="186"/>
      <c r="AY1017" s="186"/>
      <c r="AZ1017" s="186"/>
      <c r="BA1017" s="186"/>
      <c r="BB1017" s="186"/>
      <c r="BC1017" s="186"/>
      <c r="BD1017" s="186"/>
      <c r="BE1017" s="186"/>
      <c r="BF1017" s="150"/>
      <c r="BG1017" s="150"/>
    </row>
    <row r="1018" spans="3:59" ht="14.6">
      <c r="C1018" s="289"/>
      <c r="D1018" s="150"/>
      <c r="E1018" s="150"/>
      <c r="F1018" s="150"/>
      <c r="G1018" s="150"/>
      <c r="H1018" s="150"/>
      <c r="I1018" s="150"/>
      <c r="J1018" s="150"/>
      <c r="K1018" s="150"/>
      <c r="L1018" s="150"/>
      <c r="M1018" s="150"/>
      <c r="N1018" s="150"/>
      <c r="O1018" s="150"/>
      <c r="P1018" s="150"/>
      <c r="Q1018" s="150"/>
      <c r="R1018" s="150"/>
      <c r="S1018" s="150"/>
      <c r="T1018" s="186"/>
      <c r="U1018" s="186"/>
      <c r="V1018" s="186"/>
      <c r="W1018" s="186"/>
      <c r="X1018" s="186"/>
      <c r="Y1018" s="186"/>
      <c r="Z1018" s="186"/>
      <c r="AA1018" s="186"/>
      <c r="AB1018" s="186"/>
      <c r="AC1018" s="186"/>
      <c r="AD1018" s="186"/>
      <c r="AF1018" s="150"/>
      <c r="AG1018" s="150"/>
      <c r="AH1018" s="150"/>
      <c r="AI1018" s="150"/>
      <c r="AJ1018" s="150"/>
      <c r="AK1018" s="150"/>
      <c r="AL1018" s="150"/>
      <c r="AM1018" s="150"/>
      <c r="AN1018" s="150"/>
      <c r="AO1018" s="150"/>
      <c r="AP1018" s="150"/>
      <c r="AQ1018" s="150"/>
      <c r="AT1018" s="186"/>
      <c r="AU1018" s="186"/>
      <c r="AV1018" s="186"/>
      <c r="AW1018" s="186"/>
      <c r="AX1018" s="186"/>
      <c r="AY1018" s="186"/>
      <c r="AZ1018" s="186"/>
      <c r="BA1018" s="186"/>
      <c r="BB1018" s="186"/>
      <c r="BC1018" s="186"/>
      <c r="BD1018" s="186"/>
      <c r="BE1018" s="186"/>
      <c r="BF1018" s="150"/>
      <c r="BG1018" s="150"/>
    </row>
    <row r="1019" spans="3:59" ht="14.6">
      <c r="C1019" s="289"/>
      <c r="D1019" s="150"/>
      <c r="E1019" s="150"/>
      <c r="F1019" s="150"/>
      <c r="G1019" s="150"/>
      <c r="H1019" s="150"/>
      <c r="I1019" s="150"/>
      <c r="J1019" s="150"/>
      <c r="K1019" s="150"/>
      <c r="L1019" s="150"/>
      <c r="M1019" s="150"/>
      <c r="N1019" s="150"/>
      <c r="O1019" s="150"/>
      <c r="P1019" s="150"/>
      <c r="Q1019" s="150"/>
      <c r="R1019" s="150"/>
      <c r="S1019" s="150"/>
      <c r="T1019" s="186"/>
      <c r="U1019" s="186"/>
      <c r="V1019" s="186"/>
      <c r="W1019" s="186"/>
      <c r="X1019" s="186"/>
      <c r="Y1019" s="186"/>
      <c r="Z1019" s="186"/>
      <c r="AA1019" s="186"/>
      <c r="AB1019" s="186"/>
      <c r="AC1019" s="186"/>
      <c r="AD1019" s="186"/>
      <c r="AF1019" s="150"/>
      <c r="AG1019" s="150"/>
      <c r="AH1019" s="150"/>
      <c r="AI1019" s="150"/>
      <c r="AJ1019" s="150"/>
      <c r="AK1019" s="150"/>
      <c r="AL1019" s="150"/>
      <c r="AM1019" s="150"/>
      <c r="AN1019" s="150"/>
      <c r="AO1019" s="150"/>
      <c r="AP1019" s="150"/>
      <c r="AQ1019" s="150"/>
      <c r="AT1019" s="186"/>
      <c r="AU1019" s="186"/>
      <c r="AV1019" s="186"/>
      <c r="AW1019" s="186"/>
      <c r="AX1019" s="186"/>
      <c r="AY1019" s="186"/>
      <c r="AZ1019" s="186"/>
      <c r="BA1019" s="186"/>
      <c r="BB1019" s="186"/>
      <c r="BC1019" s="186"/>
      <c r="BD1019" s="186"/>
      <c r="BE1019" s="186"/>
      <c r="BF1019" s="150"/>
      <c r="BG1019" s="150"/>
    </row>
    <row r="1020" spans="3:59" ht="14.6">
      <c r="C1020" s="289"/>
      <c r="D1020" s="150"/>
      <c r="E1020" s="150"/>
      <c r="F1020" s="150"/>
      <c r="G1020" s="150"/>
      <c r="H1020" s="150"/>
      <c r="I1020" s="150"/>
      <c r="J1020" s="150"/>
      <c r="K1020" s="150"/>
      <c r="L1020" s="150"/>
      <c r="M1020" s="150"/>
      <c r="N1020" s="150"/>
      <c r="O1020" s="150"/>
      <c r="P1020" s="150"/>
      <c r="Q1020" s="150"/>
      <c r="R1020" s="150"/>
      <c r="S1020" s="150"/>
      <c r="T1020" s="186"/>
      <c r="U1020" s="186"/>
      <c r="V1020" s="186"/>
      <c r="W1020" s="186"/>
      <c r="X1020" s="186"/>
      <c r="Y1020" s="186"/>
      <c r="Z1020" s="186"/>
      <c r="AA1020" s="186"/>
      <c r="AB1020" s="186"/>
      <c r="AC1020" s="186"/>
      <c r="AD1020" s="186"/>
      <c r="AF1020" s="150"/>
      <c r="AG1020" s="150"/>
      <c r="AH1020" s="150"/>
      <c r="AI1020" s="150"/>
      <c r="AJ1020" s="150"/>
      <c r="AK1020" s="150"/>
      <c r="AL1020" s="150"/>
      <c r="AM1020" s="150"/>
      <c r="AN1020" s="150"/>
      <c r="AO1020" s="150"/>
      <c r="AP1020" s="150"/>
      <c r="AQ1020" s="150"/>
      <c r="AT1020" s="186"/>
      <c r="AU1020" s="186"/>
      <c r="AV1020" s="186"/>
      <c r="AW1020" s="186"/>
      <c r="AX1020" s="186"/>
      <c r="AY1020" s="186"/>
      <c r="AZ1020" s="186"/>
      <c r="BA1020" s="186"/>
      <c r="BB1020" s="186"/>
      <c r="BC1020" s="186"/>
      <c r="BD1020" s="186"/>
      <c r="BE1020" s="186"/>
      <c r="BF1020" s="150"/>
      <c r="BG1020" s="150"/>
    </row>
    <row r="1021" spans="3:59" ht="14.6">
      <c r="C1021" s="289"/>
      <c r="D1021" s="150"/>
      <c r="E1021" s="150"/>
      <c r="F1021" s="150"/>
      <c r="G1021" s="150"/>
      <c r="H1021" s="150"/>
      <c r="I1021" s="150"/>
      <c r="J1021" s="150"/>
      <c r="K1021" s="150"/>
      <c r="L1021" s="150"/>
      <c r="M1021" s="150"/>
      <c r="N1021" s="150"/>
      <c r="O1021" s="150"/>
      <c r="P1021" s="150"/>
      <c r="Q1021" s="150"/>
      <c r="R1021" s="150"/>
      <c r="S1021" s="150"/>
      <c r="T1021" s="186"/>
      <c r="U1021" s="186"/>
      <c r="V1021" s="186"/>
      <c r="W1021" s="186"/>
      <c r="X1021" s="186"/>
      <c r="Y1021" s="186"/>
      <c r="Z1021" s="186"/>
      <c r="AA1021" s="186"/>
      <c r="AB1021" s="186"/>
      <c r="AC1021" s="186"/>
      <c r="AD1021" s="186"/>
      <c r="AF1021" s="150"/>
      <c r="AG1021" s="150"/>
      <c r="AH1021" s="150"/>
      <c r="AI1021" s="150"/>
      <c r="AJ1021" s="150"/>
      <c r="AK1021" s="150"/>
      <c r="AL1021" s="150"/>
      <c r="AM1021" s="150"/>
      <c r="AN1021" s="150"/>
      <c r="AO1021" s="150"/>
      <c r="AP1021" s="150"/>
      <c r="AQ1021" s="150"/>
      <c r="AT1021" s="186"/>
      <c r="AU1021" s="186"/>
      <c r="AV1021" s="186"/>
      <c r="AW1021" s="186"/>
      <c r="AX1021" s="186"/>
      <c r="AY1021" s="186"/>
      <c r="AZ1021" s="186"/>
      <c r="BA1021" s="186"/>
      <c r="BB1021" s="186"/>
      <c r="BC1021" s="186"/>
      <c r="BD1021" s="186"/>
      <c r="BE1021" s="186"/>
      <c r="BF1021" s="150"/>
      <c r="BG1021" s="150"/>
    </row>
    <row r="1022" spans="3:59" ht="14.6">
      <c r="C1022" s="289"/>
      <c r="D1022" s="150"/>
      <c r="E1022" s="150"/>
      <c r="F1022" s="150"/>
      <c r="G1022" s="150"/>
      <c r="H1022" s="150"/>
      <c r="I1022" s="150"/>
      <c r="J1022" s="150"/>
      <c r="K1022" s="150"/>
      <c r="L1022" s="150"/>
      <c r="M1022" s="150"/>
      <c r="N1022" s="150"/>
      <c r="O1022" s="150"/>
      <c r="P1022" s="150"/>
      <c r="Q1022" s="150"/>
      <c r="R1022" s="150"/>
      <c r="S1022" s="150"/>
      <c r="T1022" s="186"/>
      <c r="U1022" s="186"/>
      <c r="V1022" s="186"/>
      <c r="W1022" s="186"/>
      <c r="X1022" s="186"/>
      <c r="Y1022" s="186"/>
      <c r="Z1022" s="186"/>
      <c r="AA1022" s="186"/>
      <c r="AB1022" s="186"/>
      <c r="AC1022" s="186"/>
      <c r="AD1022" s="186"/>
      <c r="AF1022" s="150"/>
      <c r="AG1022" s="150"/>
      <c r="AH1022" s="150"/>
      <c r="AI1022" s="150"/>
      <c r="AJ1022" s="150"/>
      <c r="AK1022" s="150"/>
      <c r="AL1022" s="150"/>
      <c r="AM1022" s="150"/>
      <c r="AN1022" s="150"/>
      <c r="AO1022" s="150"/>
      <c r="AP1022" s="150"/>
      <c r="AQ1022" s="150"/>
      <c r="AT1022" s="186"/>
      <c r="AU1022" s="186"/>
      <c r="AV1022" s="186"/>
      <c r="AW1022" s="186"/>
      <c r="AX1022" s="186"/>
      <c r="AY1022" s="186"/>
      <c r="AZ1022" s="186"/>
      <c r="BA1022" s="186"/>
      <c r="BB1022" s="186"/>
      <c r="BC1022" s="186"/>
      <c r="BD1022" s="186"/>
      <c r="BE1022" s="186"/>
      <c r="BF1022" s="150"/>
      <c r="BG1022" s="150"/>
    </row>
    <row r="1023" spans="3:59" ht="14.6">
      <c r="C1023" s="289"/>
      <c r="D1023" s="150"/>
      <c r="E1023" s="150"/>
      <c r="F1023" s="150"/>
      <c r="G1023" s="150"/>
      <c r="H1023" s="150"/>
      <c r="I1023" s="150"/>
      <c r="J1023" s="150"/>
      <c r="K1023" s="150"/>
      <c r="L1023" s="150"/>
      <c r="M1023" s="150"/>
      <c r="N1023" s="150"/>
      <c r="O1023" s="150"/>
      <c r="P1023" s="150"/>
      <c r="Q1023" s="150"/>
      <c r="R1023" s="150"/>
      <c r="S1023" s="150"/>
      <c r="T1023" s="186"/>
      <c r="U1023" s="186"/>
      <c r="V1023" s="186"/>
      <c r="W1023" s="186"/>
      <c r="X1023" s="186"/>
      <c r="Y1023" s="186"/>
      <c r="Z1023" s="186"/>
      <c r="AA1023" s="186"/>
      <c r="AB1023" s="186"/>
      <c r="AC1023" s="186"/>
      <c r="AD1023" s="186"/>
      <c r="AF1023" s="150"/>
      <c r="AG1023" s="150"/>
      <c r="AH1023" s="150"/>
      <c r="AI1023" s="150"/>
      <c r="AJ1023" s="150"/>
      <c r="AK1023" s="150"/>
      <c r="AL1023" s="150"/>
      <c r="AM1023" s="150"/>
      <c r="AN1023" s="150"/>
      <c r="AO1023" s="150"/>
      <c r="AP1023" s="150"/>
      <c r="AQ1023" s="150"/>
      <c r="AT1023" s="186"/>
      <c r="AU1023" s="186"/>
      <c r="AV1023" s="186"/>
      <c r="AW1023" s="186"/>
      <c r="AX1023" s="186"/>
      <c r="AY1023" s="186"/>
      <c r="AZ1023" s="186"/>
      <c r="BA1023" s="186"/>
      <c r="BB1023" s="186"/>
      <c r="BC1023" s="186"/>
      <c r="BD1023" s="186"/>
      <c r="BE1023" s="186"/>
      <c r="BF1023" s="150"/>
      <c r="BG1023" s="150"/>
    </row>
    <row r="1024" spans="3:59" ht="14.6">
      <c r="C1024" s="289"/>
      <c r="D1024" s="150"/>
      <c r="E1024" s="150"/>
      <c r="F1024" s="150"/>
      <c r="G1024" s="150"/>
      <c r="H1024" s="150"/>
      <c r="I1024" s="150"/>
      <c r="J1024" s="150"/>
      <c r="K1024" s="150"/>
      <c r="L1024" s="150"/>
      <c r="M1024" s="150"/>
      <c r="N1024" s="150"/>
      <c r="O1024" s="150"/>
      <c r="P1024" s="150"/>
      <c r="Q1024" s="150"/>
      <c r="R1024" s="150"/>
      <c r="S1024" s="150"/>
      <c r="T1024" s="186"/>
      <c r="U1024" s="186"/>
      <c r="V1024" s="186"/>
      <c r="W1024" s="186"/>
      <c r="X1024" s="186"/>
      <c r="Y1024" s="186"/>
      <c r="Z1024" s="186"/>
      <c r="AA1024" s="186"/>
      <c r="AB1024" s="186"/>
      <c r="AC1024" s="186"/>
      <c r="AD1024" s="186"/>
      <c r="AF1024" s="150"/>
      <c r="AG1024" s="150"/>
      <c r="AH1024" s="150"/>
      <c r="AI1024" s="150"/>
      <c r="AJ1024" s="150"/>
      <c r="AK1024" s="150"/>
      <c r="AL1024" s="150"/>
      <c r="AM1024" s="150"/>
      <c r="AN1024" s="150"/>
      <c r="AO1024" s="150"/>
      <c r="AP1024" s="150"/>
      <c r="AQ1024" s="150"/>
      <c r="AT1024" s="186"/>
      <c r="AU1024" s="186"/>
      <c r="AV1024" s="186"/>
      <c r="AW1024" s="186"/>
      <c r="AX1024" s="186"/>
      <c r="AY1024" s="186"/>
      <c r="AZ1024" s="186"/>
      <c r="BA1024" s="186"/>
      <c r="BB1024" s="186"/>
      <c r="BC1024" s="186"/>
      <c r="BD1024" s="186"/>
      <c r="BE1024" s="186"/>
      <c r="BF1024" s="150"/>
      <c r="BG1024" s="150"/>
    </row>
    <row r="1025" spans="3:59" ht="14.6">
      <c r="C1025" s="289"/>
      <c r="D1025" s="150"/>
      <c r="E1025" s="150"/>
      <c r="F1025" s="150"/>
      <c r="G1025" s="150"/>
      <c r="H1025" s="150"/>
      <c r="I1025" s="150"/>
      <c r="J1025" s="150"/>
      <c r="K1025" s="150"/>
      <c r="L1025" s="150"/>
      <c r="M1025" s="150"/>
      <c r="N1025" s="150"/>
      <c r="O1025" s="150"/>
      <c r="P1025" s="150"/>
      <c r="Q1025" s="150"/>
      <c r="R1025" s="150"/>
      <c r="S1025" s="150"/>
      <c r="T1025" s="186"/>
      <c r="U1025" s="186"/>
      <c r="V1025" s="186"/>
      <c r="W1025" s="186"/>
      <c r="X1025" s="186"/>
      <c r="Y1025" s="186"/>
      <c r="Z1025" s="186"/>
      <c r="AA1025" s="186"/>
      <c r="AB1025" s="186"/>
      <c r="AC1025" s="186"/>
      <c r="AD1025" s="186"/>
      <c r="AF1025" s="150"/>
      <c r="AG1025" s="150"/>
      <c r="AH1025" s="150"/>
      <c r="AI1025" s="150"/>
      <c r="AJ1025" s="150"/>
      <c r="AK1025" s="150"/>
      <c r="AL1025" s="150"/>
      <c r="AM1025" s="150"/>
      <c r="AN1025" s="150"/>
      <c r="AO1025" s="150"/>
      <c r="AP1025" s="150"/>
      <c r="AQ1025" s="150"/>
      <c r="AT1025" s="186"/>
      <c r="AU1025" s="186"/>
      <c r="AV1025" s="186"/>
      <c r="AW1025" s="186"/>
      <c r="AX1025" s="186"/>
      <c r="AY1025" s="186"/>
      <c r="AZ1025" s="186"/>
      <c r="BA1025" s="186"/>
      <c r="BB1025" s="186"/>
      <c r="BC1025" s="186"/>
      <c r="BD1025" s="186"/>
      <c r="BE1025" s="186"/>
      <c r="BF1025" s="150"/>
      <c r="BG1025" s="150"/>
    </row>
    <row r="1026" spans="3:59" ht="14.6">
      <c r="C1026" s="289"/>
      <c r="D1026" s="150"/>
      <c r="E1026" s="150"/>
      <c r="F1026" s="150"/>
      <c r="G1026" s="150"/>
      <c r="H1026" s="150"/>
      <c r="I1026" s="150"/>
      <c r="J1026" s="150"/>
      <c r="K1026" s="150"/>
      <c r="L1026" s="150"/>
      <c r="M1026" s="150"/>
      <c r="N1026" s="150"/>
      <c r="O1026" s="150"/>
      <c r="P1026" s="150"/>
      <c r="Q1026" s="150"/>
      <c r="R1026" s="150"/>
      <c r="S1026" s="150"/>
      <c r="T1026" s="186"/>
      <c r="U1026" s="186"/>
      <c r="V1026" s="186"/>
      <c r="W1026" s="186"/>
      <c r="X1026" s="186"/>
      <c r="Y1026" s="186"/>
      <c r="Z1026" s="186"/>
      <c r="AA1026" s="186"/>
      <c r="AB1026" s="186"/>
      <c r="AC1026" s="186"/>
      <c r="AD1026" s="186"/>
      <c r="AF1026" s="150"/>
      <c r="AG1026" s="150"/>
      <c r="AH1026" s="150"/>
      <c r="AI1026" s="150"/>
      <c r="AJ1026" s="150"/>
      <c r="AK1026" s="150"/>
      <c r="AL1026" s="150"/>
      <c r="AM1026" s="150"/>
      <c r="AN1026" s="150"/>
      <c r="AO1026" s="150"/>
      <c r="AP1026" s="150"/>
      <c r="AQ1026" s="150"/>
      <c r="AT1026" s="186"/>
      <c r="AU1026" s="186"/>
      <c r="AV1026" s="186"/>
      <c r="AW1026" s="186"/>
      <c r="AX1026" s="186"/>
      <c r="AY1026" s="186"/>
      <c r="AZ1026" s="186"/>
      <c r="BA1026" s="186"/>
      <c r="BB1026" s="186"/>
      <c r="BC1026" s="186"/>
      <c r="BD1026" s="186"/>
      <c r="BE1026" s="186"/>
      <c r="BF1026" s="150"/>
      <c r="BG1026" s="150"/>
    </row>
    <row r="1027" spans="3:59" ht="14.6">
      <c r="C1027" s="289"/>
      <c r="D1027" s="150"/>
      <c r="E1027" s="150"/>
      <c r="F1027" s="150"/>
      <c r="G1027" s="150"/>
      <c r="H1027" s="150"/>
      <c r="I1027" s="150"/>
      <c r="J1027" s="150"/>
      <c r="K1027" s="150"/>
      <c r="L1027" s="150"/>
      <c r="M1027" s="150"/>
      <c r="N1027" s="150"/>
      <c r="O1027" s="150"/>
      <c r="P1027" s="150"/>
      <c r="Q1027" s="150"/>
      <c r="R1027" s="150"/>
      <c r="S1027" s="150"/>
      <c r="T1027" s="186"/>
      <c r="U1027" s="186"/>
      <c r="V1027" s="186"/>
      <c r="W1027" s="186"/>
      <c r="X1027" s="186"/>
      <c r="Y1027" s="186"/>
      <c r="Z1027" s="186"/>
      <c r="AA1027" s="186"/>
      <c r="AB1027" s="186"/>
      <c r="AC1027" s="186"/>
      <c r="AD1027" s="186"/>
      <c r="AF1027" s="150"/>
      <c r="AG1027" s="150"/>
      <c r="AH1027" s="150"/>
      <c r="AI1027" s="150"/>
      <c r="AJ1027" s="150"/>
      <c r="AK1027" s="150"/>
      <c r="AL1027" s="150"/>
      <c r="AM1027" s="150"/>
      <c r="AN1027" s="150"/>
      <c r="AO1027" s="150"/>
      <c r="AP1027" s="150"/>
      <c r="AQ1027" s="150"/>
      <c r="AT1027" s="186"/>
      <c r="AU1027" s="186"/>
      <c r="AV1027" s="186"/>
      <c r="AW1027" s="186"/>
      <c r="AX1027" s="186"/>
      <c r="AY1027" s="186"/>
      <c r="AZ1027" s="186"/>
      <c r="BA1027" s="186"/>
      <c r="BB1027" s="186"/>
      <c r="BC1027" s="186"/>
      <c r="BD1027" s="186"/>
      <c r="BE1027" s="186"/>
      <c r="BF1027" s="150"/>
      <c r="BG1027" s="150"/>
    </row>
    <row r="1028" spans="3:59" ht="14.6">
      <c r="C1028" s="289"/>
      <c r="D1028" s="150"/>
      <c r="E1028" s="150"/>
      <c r="F1028" s="150"/>
      <c r="G1028" s="150"/>
      <c r="H1028" s="150"/>
      <c r="I1028" s="150"/>
      <c r="J1028" s="150"/>
      <c r="K1028" s="150"/>
      <c r="L1028" s="150"/>
      <c r="M1028" s="150"/>
      <c r="N1028" s="150"/>
      <c r="O1028" s="150"/>
      <c r="P1028" s="150"/>
      <c r="Q1028" s="150"/>
      <c r="R1028" s="150"/>
      <c r="S1028" s="150"/>
      <c r="T1028" s="186"/>
      <c r="U1028" s="186"/>
      <c r="V1028" s="186"/>
      <c r="W1028" s="186"/>
      <c r="X1028" s="186"/>
      <c r="Y1028" s="186"/>
      <c r="Z1028" s="186"/>
      <c r="AA1028" s="186"/>
      <c r="AB1028" s="186"/>
      <c r="AC1028" s="186"/>
      <c r="AD1028" s="186"/>
      <c r="AF1028" s="150"/>
      <c r="AG1028" s="150"/>
      <c r="AH1028" s="150"/>
      <c r="AI1028" s="150"/>
      <c r="AJ1028" s="150"/>
      <c r="AK1028" s="150"/>
      <c r="AL1028" s="150"/>
      <c r="AM1028" s="150"/>
      <c r="AN1028" s="150"/>
      <c r="AO1028" s="150"/>
      <c r="AP1028" s="150"/>
      <c r="AQ1028" s="150"/>
      <c r="AT1028" s="186"/>
      <c r="AU1028" s="186"/>
      <c r="AV1028" s="186"/>
      <c r="AW1028" s="186"/>
      <c r="AX1028" s="186"/>
      <c r="AY1028" s="186"/>
      <c r="AZ1028" s="186"/>
      <c r="BA1028" s="186"/>
      <c r="BB1028" s="186"/>
      <c r="BC1028" s="186"/>
      <c r="BD1028" s="186"/>
      <c r="BE1028" s="186"/>
      <c r="BF1028" s="150"/>
      <c r="BG1028" s="150"/>
    </row>
    <row r="1029" spans="3:59" ht="14.6">
      <c r="C1029" s="289"/>
      <c r="D1029" s="150"/>
      <c r="E1029" s="150"/>
      <c r="F1029" s="150"/>
      <c r="G1029" s="150"/>
      <c r="H1029" s="150"/>
      <c r="I1029" s="150"/>
      <c r="J1029" s="150"/>
      <c r="K1029" s="150"/>
      <c r="L1029" s="150"/>
      <c r="M1029" s="150"/>
      <c r="N1029" s="150"/>
      <c r="O1029" s="150"/>
      <c r="P1029" s="150"/>
      <c r="Q1029" s="150"/>
      <c r="R1029" s="150"/>
      <c r="S1029" s="150"/>
      <c r="T1029" s="186"/>
      <c r="U1029" s="186"/>
      <c r="V1029" s="186"/>
      <c r="W1029" s="186"/>
      <c r="X1029" s="186"/>
      <c r="Y1029" s="186"/>
      <c r="Z1029" s="186"/>
      <c r="AA1029" s="186"/>
      <c r="AB1029" s="186"/>
      <c r="AC1029" s="186"/>
      <c r="AD1029" s="186"/>
      <c r="AF1029" s="150"/>
      <c r="AG1029" s="150"/>
      <c r="AH1029" s="150"/>
      <c r="AI1029" s="150"/>
      <c r="AJ1029" s="150"/>
      <c r="AK1029" s="150"/>
      <c r="AL1029" s="150"/>
      <c r="AM1029" s="150"/>
      <c r="AN1029" s="150"/>
      <c r="AO1029" s="150"/>
      <c r="AP1029" s="150"/>
      <c r="AQ1029" s="150"/>
      <c r="AT1029" s="186"/>
      <c r="AU1029" s="186"/>
      <c r="AV1029" s="186"/>
      <c r="AW1029" s="186"/>
      <c r="AX1029" s="186"/>
      <c r="AY1029" s="186"/>
      <c r="AZ1029" s="186"/>
      <c r="BA1029" s="186"/>
      <c r="BB1029" s="186"/>
      <c r="BC1029" s="186"/>
      <c r="BD1029" s="186"/>
      <c r="BE1029" s="186"/>
      <c r="BF1029" s="150"/>
      <c r="BG1029" s="150"/>
    </row>
    <row r="1030" spans="3:59" ht="14.6">
      <c r="C1030" s="289"/>
      <c r="D1030" s="150"/>
      <c r="E1030" s="150"/>
      <c r="F1030" s="150"/>
      <c r="G1030" s="150"/>
      <c r="H1030" s="150"/>
      <c r="I1030" s="150"/>
      <c r="J1030" s="150"/>
      <c r="K1030" s="150"/>
      <c r="L1030" s="150"/>
      <c r="M1030" s="150"/>
      <c r="N1030" s="150"/>
      <c r="O1030" s="150"/>
      <c r="P1030" s="150"/>
      <c r="Q1030" s="150"/>
      <c r="R1030" s="150"/>
      <c r="S1030" s="150"/>
      <c r="T1030" s="186"/>
      <c r="U1030" s="186"/>
      <c r="V1030" s="186"/>
      <c r="W1030" s="186"/>
      <c r="X1030" s="186"/>
      <c r="Y1030" s="186"/>
      <c r="Z1030" s="186"/>
      <c r="AA1030" s="186"/>
      <c r="AB1030" s="186"/>
      <c r="AC1030" s="186"/>
      <c r="AD1030" s="186"/>
      <c r="AF1030" s="150"/>
      <c r="AG1030" s="150"/>
      <c r="AH1030" s="150"/>
      <c r="AI1030" s="150"/>
      <c r="AJ1030" s="150"/>
      <c r="AK1030" s="150"/>
      <c r="AL1030" s="150"/>
      <c r="AM1030" s="150"/>
      <c r="AN1030" s="150"/>
      <c r="AO1030" s="150"/>
      <c r="AP1030" s="150"/>
      <c r="AQ1030" s="150"/>
      <c r="AT1030" s="186"/>
      <c r="AU1030" s="186"/>
      <c r="AV1030" s="186"/>
      <c r="AW1030" s="186"/>
      <c r="AX1030" s="186"/>
      <c r="AY1030" s="186"/>
      <c r="AZ1030" s="186"/>
      <c r="BA1030" s="186"/>
      <c r="BB1030" s="186"/>
      <c r="BC1030" s="186"/>
      <c r="BD1030" s="186"/>
      <c r="BE1030" s="186"/>
      <c r="BF1030" s="150"/>
      <c r="BG1030" s="150"/>
    </row>
    <row r="1031" spans="3:59" ht="14.6">
      <c r="C1031" s="289"/>
      <c r="D1031" s="150"/>
      <c r="E1031" s="150"/>
      <c r="F1031" s="150"/>
      <c r="G1031" s="150"/>
      <c r="H1031" s="150"/>
      <c r="I1031" s="150"/>
      <c r="J1031" s="150"/>
      <c r="K1031" s="150"/>
      <c r="L1031" s="150"/>
      <c r="M1031" s="150"/>
      <c r="N1031" s="150"/>
      <c r="O1031" s="150"/>
      <c r="P1031" s="150"/>
      <c r="Q1031" s="150"/>
      <c r="R1031" s="150"/>
      <c r="S1031" s="150"/>
      <c r="T1031" s="186"/>
      <c r="U1031" s="186"/>
      <c r="V1031" s="186"/>
      <c r="W1031" s="186"/>
      <c r="X1031" s="186"/>
      <c r="Y1031" s="186"/>
      <c r="Z1031" s="186"/>
      <c r="AA1031" s="186"/>
      <c r="AB1031" s="186"/>
      <c r="AC1031" s="186"/>
      <c r="AD1031" s="186"/>
      <c r="AF1031" s="150"/>
      <c r="AG1031" s="150"/>
      <c r="AH1031" s="150"/>
      <c r="AI1031" s="150"/>
      <c r="AJ1031" s="150"/>
      <c r="AK1031" s="150"/>
      <c r="AL1031" s="150"/>
      <c r="AM1031" s="150"/>
      <c r="AN1031" s="150"/>
      <c r="AO1031" s="150"/>
      <c r="AP1031" s="150"/>
      <c r="AQ1031" s="150"/>
      <c r="AT1031" s="186"/>
      <c r="AU1031" s="186"/>
      <c r="AV1031" s="186"/>
      <c r="AW1031" s="186"/>
      <c r="AX1031" s="186"/>
      <c r="AY1031" s="186"/>
      <c r="AZ1031" s="186"/>
      <c r="BA1031" s="186"/>
      <c r="BB1031" s="186"/>
      <c r="BC1031" s="186"/>
      <c r="BD1031" s="186"/>
      <c r="BE1031" s="186"/>
      <c r="BF1031" s="150"/>
      <c r="BG1031" s="150"/>
    </row>
    <row r="1032" spans="3:59" ht="14.6">
      <c r="C1032" s="289"/>
      <c r="D1032" s="150"/>
      <c r="E1032" s="150"/>
      <c r="F1032" s="150"/>
      <c r="G1032" s="150"/>
      <c r="H1032" s="150"/>
      <c r="I1032" s="150"/>
      <c r="J1032" s="150"/>
      <c r="K1032" s="150"/>
      <c r="L1032" s="150"/>
      <c r="M1032" s="150"/>
      <c r="N1032" s="150"/>
      <c r="O1032" s="150"/>
      <c r="P1032" s="150"/>
      <c r="Q1032" s="150"/>
      <c r="R1032" s="150"/>
      <c r="S1032" s="150"/>
      <c r="T1032" s="186"/>
      <c r="U1032" s="186"/>
      <c r="V1032" s="186"/>
      <c r="W1032" s="186"/>
      <c r="X1032" s="186"/>
      <c r="Y1032" s="186"/>
      <c r="Z1032" s="186"/>
      <c r="AA1032" s="186"/>
      <c r="AB1032" s="186"/>
      <c r="AC1032" s="186"/>
      <c r="AD1032" s="186"/>
      <c r="AF1032" s="150"/>
      <c r="AG1032" s="150"/>
      <c r="AH1032" s="150"/>
      <c r="AI1032" s="150"/>
      <c r="AJ1032" s="150"/>
      <c r="AK1032" s="150"/>
      <c r="AL1032" s="150"/>
      <c r="AM1032" s="150"/>
      <c r="AN1032" s="150"/>
      <c r="AO1032" s="150"/>
      <c r="AP1032" s="150"/>
      <c r="AQ1032" s="150"/>
      <c r="AT1032" s="186"/>
      <c r="AU1032" s="186"/>
      <c r="AV1032" s="186"/>
      <c r="AW1032" s="186"/>
      <c r="AX1032" s="186"/>
      <c r="AY1032" s="186"/>
      <c r="AZ1032" s="186"/>
      <c r="BA1032" s="186"/>
      <c r="BB1032" s="186"/>
      <c r="BC1032" s="186"/>
      <c r="BD1032" s="186"/>
      <c r="BE1032" s="186"/>
      <c r="BF1032" s="150"/>
      <c r="BG1032" s="150"/>
    </row>
    <row r="1033" spans="3:59" ht="14.6">
      <c r="C1033" s="289"/>
      <c r="D1033" s="150"/>
      <c r="E1033" s="150"/>
      <c r="F1033" s="150"/>
      <c r="G1033" s="150"/>
      <c r="H1033" s="150"/>
      <c r="I1033" s="150"/>
      <c r="J1033" s="150"/>
      <c r="K1033" s="150"/>
      <c r="L1033" s="150"/>
      <c r="M1033" s="150"/>
      <c r="N1033" s="150"/>
      <c r="O1033" s="150"/>
      <c r="P1033" s="150"/>
      <c r="Q1033" s="150"/>
      <c r="R1033" s="150"/>
      <c r="S1033" s="150"/>
      <c r="T1033" s="186"/>
      <c r="U1033" s="186"/>
      <c r="V1033" s="186"/>
      <c r="W1033" s="186"/>
      <c r="X1033" s="186"/>
      <c r="Y1033" s="186"/>
      <c r="Z1033" s="186"/>
      <c r="AA1033" s="186"/>
      <c r="AB1033" s="186"/>
      <c r="AC1033" s="186"/>
      <c r="AD1033" s="186"/>
      <c r="AF1033" s="150"/>
      <c r="AG1033" s="150"/>
      <c r="AH1033" s="150"/>
      <c r="AI1033" s="150"/>
      <c r="AJ1033" s="150"/>
      <c r="AK1033" s="150"/>
      <c r="AL1033" s="150"/>
      <c r="AM1033" s="150"/>
      <c r="AN1033" s="150"/>
      <c r="AO1033" s="150"/>
      <c r="AP1033" s="150"/>
      <c r="AQ1033" s="150"/>
      <c r="AT1033" s="186"/>
      <c r="AU1033" s="186"/>
      <c r="AV1033" s="186"/>
      <c r="AW1033" s="186"/>
      <c r="AX1033" s="186"/>
      <c r="AY1033" s="186"/>
      <c r="AZ1033" s="186"/>
      <c r="BA1033" s="186"/>
      <c r="BB1033" s="186"/>
      <c r="BC1033" s="186"/>
      <c r="BD1033" s="186"/>
      <c r="BE1033" s="186"/>
      <c r="BF1033" s="150"/>
      <c r="BG1033" s="150"/>
    </row>
    <row r="1034" spans="3:59" ht="14.6">
      <c r="C1034" s="289"/>
      <c r="D1034" s="150"/>
      <c r="E1034" s="150"/>
      <c r="F1034" s="150"/>
      <c r="G1034" s="150"/>
      <c r="H1034" s="150"/>
      <c r="I1034" s="150"/>
      <c r="J1034" s="150"/>
      <c r="K1034" s="150"/>
      <c r="L1034" s="150"/>
      <c r="M1034" s="150"/>
      <c r="N1034" s="150"/>
      <c r="O1034" s="150"/>
      <c r="P1034" s="150"/>
      <c r="Q1034" s="150"/>
      <c r="R1034" s="150"/>
      <c r="S1034" s="150"/>
      <c r="T1034" s="186"/>
      <c r="U1034" s="186"/>
      <c r="V1034" s="186"/>
      <c r="W1034" s="186"/>
      <c r="X1034" s="186"/>
      <c r="Y1034" s="186"/>
      <c r="Z1034" s="186"/>
      <c r="AA1034" s="186"/>
      <c r="AB1034" s="186"/>
      <c r="AC1034" s="186"/>
      <c r="AD1034" s="186"/>
      <c r="AF1034" s="150"/>
      <c r="AG1034" s="150"/>
      <c r="AH1034" s="150"/>
      <c r="AI1034" s="150"/>
      <c r="AJ1034" s="150"/>
      <c r="AK1034" s="150"/>
      <c r="AL1034" s="150"/>
      <c r="AM1034" s="150"/>
      <c r="AN1034" s="150"/>
      <c r="AO1034" s="150"/>
      <c r="AP1034" s="150"/>
      <c r="AQ1034" s="150"/>
      <c r="AT1034" s="186"/>
      <c r="AU1034" s="186"/>
      <c r="AV1034" s="186"/>
      <c r="AW1034" s="186"/>
      <c r="AX1034" s="186"/>
      <c r="AY1034" s="186"/>
      <c r="AZ1034" s="186"/>
      <c r="BA1034" s="186"/>
      <c r="BB1034" s="186"/>
      <c r="BC1034" s="186"/>
      <c r="BD1034" s="186"/>
      <c r="BE1034" s="186"/>
      <c r="BF1034" s="150"/>
      <c r="BG1034" s="150"/>
    </row>
    <row r="1035" spans="3:59" ht="14.6">
      <c r="C1035" s="289"/>
      <c r="D1035" s="150"/>
      <c r="E1035" s="150"/>
      <c r="F1035" s="150"/>
      <c r="G1035" s="150"/>
      <c r="H1035" s="150"/>
      <c r="I1035" s="150"/>
      <c r="J1035" s="150"/>
      <c r="K1035" s="150"/>
      <c r="L1035" s="150"/>
      <c r="M1035" s="150"/>
      <c r="N1035" s="150"/>
      <c r="O1035" s="150"/>
      <c r="P1035" s="150"/>
      <c r="Q1035" s="150"/>
      <c r="R1035" s="150"/>
      <c r="S1035" s="150"/>
      <c r="T1035" s="186"/>
      <c r="U1035" s="186"/>
      <c r="V1035" s="186"/>
      <c r="W1035" s="186"/>
      <c r="X1035" s="186"/>
      <c r="Y1035" s="186"/>
      <c r="Z1035" s="186"/>
      <c r="AA1035" s="186"/>
      <c r="AB1035" s="186"/>
      <c r="AC1035" s="186"/>
      <c r="AD1035" s="186"/>
      <c r="AF1035" s="150"/>
      <c r="AG1035" s="150"/>
      <c r="AH1035" s="150"/>
      <c r="AI1035" s="150"/>
      <c r="AJ1035" s="150"/>
      <c r="AK1035" s="150"/>
      <c r="AL1035" s="150"/>
      <c r="AM1035" s="150"/>
      <c r="AN1035" s="150"/>
      <c r="AO1035" s="150"/>
      <c r="AP1035" s="150"/>
      <c r="AQ1035" s="150"/>
      <c r="AT1035" s="186"/>
      <c r="AU1035" s="186"/>
      <c r="AV1035" s="186"/>
      <c r="AW1035" s="186"/>
      <c r="AX1035" s="186"/>
      <c r="AY1035" s="186"/>
      <c r="AZ1035" s="186"/>
      <c r="BA1035" s="186"/>
      <c r="BB1035" s="186"/>
      <c r="BC1035" s="186"/>
      <c r="BD1035" s="186"/>
      <c r="BE1035" s="186"/>
      <c r="BF1035" s="150"/>
      <c r="BG1035" s="150"/>
    </row>
    <row r="1036" spans="3:59" ht="14.6">
      <c r="C1036" s="289"/>
      <c r="D1036" s="150"/>
      <c r="E1036" s="150"/>
      <c r="F1036" s="150"/>
      <c r="G1036" s="150"/>
      <c r="H1036" s="150"/>
      <c r="I1036" s="150"/>
      <c r="J1036" s="150"/>
      <c r="K1036" s="150"/>
      <c r="L1036" s="150"/>
      <c r="M1036" s="150"/>
      <c r="N1036" s="150"/>
      <c r="O1036" s="150"/>
      <c r="P1036" s="150"/>
      <c r="Q1036" s="150"/>
      <c r="R1036" s="150"/>
      <c r="S1036" s="150"/>
      <c r="T1036" s="186"/>
      <c r="U1036" s="186"/>
      <c r="V1036" s="186"/>
      <c r="W1036" s="186"/>
      <c r="X1036" s="186"/>
      <c r="Y1036" s="186"/>
      <c r="Z1036" s="186"/>
      <c r="AA1036" s="186"/>
      <c r="AB1036" s="186"/>
      <c r="AC1036" s="186"/>
      <c r="AD1036" s="186"/>
      <c r="AF1036" s="150"/>
      <c r="AG1036" s="150"/>
      <c r="AH1036" s="150"/>
      <c r="AI1036" s="150"/>
      <c r="AJ1036" s="150"/>
      <c r="AK1036" s="150"/>
      <c r="AL1036" s="150"/>
      <c r="AM1036" s="150"/>
      <c r="AN1036" s="150"/>
      <c r="AO1036" s="150"/>
      <c r="AP1036" s="150"/>
      <c r="AQ1036" s="150"/>
      <c r="AT1036" s="186"/>
      <c r="AU1036" s="186"/>
      <c r="AV1036" s="186"/>
      <c r="AW1036" s="186"/>
      <c r="AX1036" s="186"/>
      <c r="AY1036" s="186"/>
      <c r="AZ1036" s="186"/>
      <c r="BA1036" s="186"/>
      <c r="BB1036" s="186"/>
      <c r="BC1036" s="186"/>
      <c r="BD1036" s="186"/>
      <c r="BE1036" s="186"/>
      <c r="BF1036" s="150"/>
      <c r="BG1036" s="150"/>
    </row>
    <row r="1037" spans="3:59" ht="14.6">
      <c r="C1037" s="289"/>
      <c r="D1037" s="150"/>
      <c r="E1037" s="150"/>
      <c r="F1037" s="150"/>
      <c r="G1037" s="150"/>
      <c r="H1037" s="150"/>
      <c r="I1037" s="150"/>
      <c r="J1037" s="150"/>
      <c r="K1037" s="150"/>
      <c r="L1037" s="150"/>
      <c r="M1037" s="150"/>
      <c r="N1037" s="150"/>
      <c r="O1037" s="150"/>
      <c r="P1037" s="150"/>
      <c r="Q1037" s="150"/>
      <c r="R1037" s="150"/>
      <c r="S1037" s="150"/>
      <c r="T1037" s="186"/>
      <c r="U1037" s="186"/>
      <c r="V1037" s="186"/>
      <c r="W1037" s="186"/>
      <c r="X1037" s="186"/>
      <c r="Y1037" s="186"/>
      <c r="Z1037" s="186"/>
      <c r="AA1037" s="186"/>
      <c r="AB1037" s="186"/>
      <c r="AC1037" s="186"/>
      <c r="AD1037" s="186"/>
      <c r="AF1037" s="150"/>
      <c r="AG1037" s="150"/>
      <c r="AH1037" s="150"/>
      <c r="AI1037" s="150"/>
      <c r="AJ1037" s="150"/>
      <c r="AK1037" s="150"/>
      <c r="AL1037" s="150"/>
      <c r="AM1037" s="150"/>
      <c r="AN1037" s="150"/>
      <c r="AO1037" s="150"/>
      <c r="AP1037" s="150"/>
      <c r="AQ1037" s="150"/>
      <c r="AT1037" s="186"/>
      <c r="AU1037" s="186"/>
      <c r="AV1037" s="186"/>
      <c r="AW1037" s="186"/>
      <c r="AX1037" s="186"/>
      <c r="AY1037" s="186"/>
      <c r="AZ1037" s="186"/>
      <c r="BA1037" s="186"/>
      <c r="BB1037" s="186"/>
      <c r="BC1037" s="186"/>
      <c r="BD1037" s="186"/>
      <c r="BE1037" s="186"/>
      <c r="BF1037" s="150"/>
      <c r="BG1037" s="150"/>
    </row>
    <row r="1038" spans="3:59" ht="14.6">
      <c r="C1038" s="289"/>
      <c r="D1038" s="150"/>
      <c r="E1038" s="150"/>
      <c r="F1038" s="150"/>
      <c r="G1038" s="150"/>
      <c r="H1038" s="150"/>
      <c r="I1038" s="150"/>
      <c r="J1038" s="150"/>
      <c r="K1038" s="150"/>
      <c r="L1038" s="150"/>
      <c r="M1038" s="150"/>
      <c r="N1038" s="150"/>
      <c r="O1038" s="150"/>
      <c r="P1038" s="150"/>
      <c r="Q1038" s="150"/>
      <c r="R1038" s="150"/>
      <c r="S1038" s="150"/>
      <c r="T1038" s="186"/>
      <c r="U1038" s="186"/>
      <c r="V1038" s="186"/>
      <c r="W1038" s="186"/>
      <c r="X1038" s="186"/>
      <c r="Y1038" s="186"/>
      <c r="Z1038" s="186"/>
      <c r="AA1038" s="186"/>
      <c r="AB1038" s="186"/>
      <c r="AC1038" s="186"/>
      <c r="AD1038" s="186"/>
      <c r="AF1038" s="150"/>
      <c r="AG1038" s="150"/>
      <c r="AH1038" s="150"/>
      <c r="AI1038" s="150"/>
      <c r="AJ1038" s="150"/>
      <c r="AK1038" s="150"/>
      <c r="AL1038" s="150"/>
      <c r="AM1038" s="150"/>
      <c r="AN1038" s="150"/>
      <c r="AO1038" s="150"/>
      <c r="AP1038" s="150"/>
      <c r="AQ1038" s="150"/>
      <c r="AT1038" s="186"/>
      <c r="AU1038" s="186"/>
      <c r="AV1038" s="186"/>
      <c r="AW1038" s="186"/>
      <c r="AX1038" s="186"/>
      <c r="AY1038" s="186"/>
      <c r="AZ1038" s="186"/>
      <c r="BA1038" s="186"/>
      <c r="BB1038" s="186"/>
      <c r="BC1038" s="186"/>
      <c r="BD1038" s="186"/>
      <c r="BE1038" s="186"/>
      <c r="BF1038" s="150"/>
      <c r="BG1038" s="150"/>
    </row>
    <row r="1039" spans="3:59" ht="14.6">
      <c r="C1039" s="289"/>
      <c r="D1039" s="150"/>
      <c r="E1039" s="150"/>
      <c r="F1039" s="150"/>
      <c r="G1039" s="150"/>
      <c r="H1039" s="150"/>
      <c r="I1039" s="150"/>
      <c r="J1039" s="150"/>
      <c r="K1039" s="150"/>
      <c r="L1039" s="150"/>
      <c r="M1039" s="150"/>
      <c r="N1039" s="150"/>
      <c r="O1039" s="150"/>
      <c r="P1039" s="150"/>
      <c r="Q1039" s="150"/>
      <c r="R1039" s="150"/>
      <c r="S1039" s="150"/>
      <c r="T1039" s="186"/>
      <c r="U1039" s="186"/>
      <c r="V1039" s="186"/>
      <c r="W1039" s="186"/>
      <c r="X1039" s="186"/>
      <c r="Y1039" s="186"/>
      <c r="Z1039" s="186"/>
      <c r="AA1039" s="186"/>
      <c r="AB1039" s="186"/>
      <c r="AC1039" s="186"/>
      <c r="AD1039" s="186"/>
      <c r="AF1039" s="150"/>
      <c r="AG1039" s="150"/>
      <c r="AH1039" s="150"/>
      <c r="AI1039" s="150"/>
      <c r="AJ1039" s="150"/>
      <c r="AK1039" s="150"/>
      <c r="AL1039" s="150"/>
      <c r="AM1039" s="150"/>
      <c r="AN1039" s="150"/>
      <c r="AO1039" s="150"/>
      <c r="AP1039" s="150"/>
      <c r="AQ1039" s="150"/>
      <c r="AT1039" s="186"/>
      <c r="AU1039" s="186"/>
      <c r="AV1039" s="186"/>
      <c r="AW1039" s="186"/>
      <c r="AX1039" s="186"/>
      <c r="AY1039" s="186"/>
      <c r="AZ1039" s="186"/>
      <c r="BA1039" s="186"/>
      <c r="BB1039" s="186"/>
      <c r="BC1039" s="186"/>
      <c r="BD1039" s="186"/>
      <c r="BE1039" s="186"/>
      <c r="BF1039" s="150"/>
      <c r="BG1039" s="150"/>
    </row>
    <row r="1040" spans="3:59" ht="14.6">
      <c r="C1040" s="289"/>
      <c r="D1040" s="150"/>
      <c r="E1040" s="150"/>
      <c r="F1040" s="150"/>
      <c r="G1040" s="150"/>
      <c r="H1040" s="150"/>
      <c r="I1040" s="150"/>
      <c r="J1040" s="150"/>
      <c r="K1040" s="150"/>
      <c r="L1040" s="150"/>
      <c r="M1040" s="150"/>
      <c r="N1040" s="150"/>
      <c r="O1040" s="150"/>
      <c r="P1040" s="150"/>
      <c r="Q1040" s="150"/>
      <c r="R1040" s="150"/>
      <c r="S1040" s="150"/>
      <c r="T1040" s="186"/>
      <c r="U1040" s="186"/>
      <c r="V1040" s="186"/>
      <c r="W1040" s="186"/>
      <c r="X1040" s="186"/>
      <c r="Y1040" s="186"/>
      <c r="Z1040" s="186"/>
      <c r="AA1040" s="186"/>
      <c r="AB1040" s="186"/>
      <c r="AC1040" s="186"/>
      <c r="AD1040" s="186"/>
      <c r="AF1040" s="150"/>
      <c r="AG1040" s="150"/>
      <c r="AH1040" s="150"/>
      <c r="AI1040" s="150"/>
      <c r="AJ1040" s="150"/>
      <c r="AK1040" s="150"/>
      <c r="AL1040" s="150"/>
      <c r="AM1040" s="150"/>
      <c r="AN1040" s="150"/>
      <c r="AO1040" s="150"/>
      <c r="AP1040" s="150"/>
      <c r="AQ1040" s="150"/>
      <c r="AT1040" s="186"/>
      <c r="AU1040" s="186"/>
      <c r="AV1040" s="186"/>
      <c r="AW1040" s="186"/>
      <c r="AX1040" s="186"/>
      <c r="AY1040" s="186"/>
      <c r="AZ1040" s="186"/>
      <c r="BA1040" s="186"/>
      <c r="BB1040" s="186"/>
      <c r="BC1040" s="186"/>
      <c r="BD1040" s="186"/>
      <c r="BE1040" s="186"/>
      <c r="BF1040" s="150"/>
      <c r="BG1040" s="150"/>
    </row>
    <row r="1041" spans="3:59" ht="14.6">
      <c r="C1041" s="289"/>
      <c r="D1041" s="150"/>
      <c r="E1041" s="150"/>
      <c r="F1041" s="150"/>
      <c r="G1041" s="150"/>
      <c r="H1041" s="150"/>
      <c r="I1041" s="150"/>
      <c r="J1041" s="150"/>
      <c r="K1041" s="150"/>
      <c r="L1041" s="150"/>
      <c r="M1041" s="150"/>
      <c r="N1041" s="150"/>
      <c r="O1041" s="150"/>
      <c r="P1041" s="150"/>
      <c r="Q1041" s="150"/>
      <c r="R1041" s="150"/>
      <c r="S1041" s="150"/>
      <c r="T1041" s="186"/>
      <c r="U1041" s="186"/>
      <c r="V1041" s="186"/>
      <c r="W1041" s="186"/>
      <c r="X1041" s="186"/>
      <c r="Y1041" s="186"/>
      <c r="Z1041" s="186"/>
      <c r="AA1041" s="186"/>
      <c r="AB1041" s="186"/>
      <c r="AC1041" s="186"/>
      <c r="AD1041" s="186"/>
      <c r="AF1041" s="150"/>
      <c r="AG1041" s="150"/>
      <c r="AH1041" s="150"/>
      <c r="AI1041" s="150"/>
      <c r="AJ1041" s="150"/>
      <c r="AK1041" s="150"/>
      <c r="AL1041" s="150"/>
      <c r="AM1041" s="150"/>
      <c r="AN1041" s="150"/>
      <c r="AO1041" s="150"/>
      <c r="AP1041" s="150"/>
      <c r="AQ1041" s="150"/>
      <c r="AT1041" s="186"/>
      <c r="AU1041" s="186"/>
      <c r="AV1041" s="186"/>
      <c r="AW1041" s="186"/>
      <c r="AX1041" s="186"/>
      <c r="AY1041" s="186"/>
      <c r="AZ1041" s="186"/>
      <c r="BA1041" s="186"/>
      <c r="BB1041" s="186"/>
      <c r="BC1041" s="186"/>
      <c r="BD1041" s="186"/>
      <c r="BE1041" s="186"/>
      <c r="BF1041" s="150"/>
      <c r="BG1041" s="150"/>
    </row>
    <row r="1042" spans="3:59" ht="14.6">
      <c r="C1042" s="289"/>
      <c r="D1042" s="150"/>
      <c r="E1042" s="150"/>
      <c r="F1042" s="150"/>
      <c r="G1042" s="150"/>
      <c r="H1042" s="150"/>
      <c r="I1042" s="150"/>
      <c r="J1042" s="150"/>
      <c r="K1042" s="150"/>
      <c r="L1042" s="150"/>
      <c r="M1042" s="150"/>
      <c r="N1042" s="150"/>
      <c r="O1042" s="150"/>
      <c r="P1042" s="150"/>
      <c r="Q1042" s="150"/>
      <c r="R1042" s="150"/>
      <c r="S1042" s="150"/>
      <c r="T1042" s="186"/>
      <c r="U1042" s="186"/>
      <c r="V1042" s="186"/>
      <c r="W1042" s="186"/>
      <c r="X1042" s="186"/>
      <c r="Y1042" s="186"/>
      <c r="Z1042" s="186"/>
      <c r="AA1042" s="186"/>
      <c r="AB1042" s="186"/>
      <c r="AC1042" s="186"/>
      <c r="AD1042" s="186"/>
      <c r="AF1042" s="150"/>
      <c r="AG1042" s="150"/>
      <c r="AH1042" s="150"/>
      <c r="AI1042" s="150"/>
      <c r="AJ1042" s="150"/>
      <c r="AK1042" s="150"/>
      <c r="AL1042" s="150"/>
      <c r="AM1042" s="150"/>
      <c r="AN1042" s="150"/>
      <c r="AO1042" s="150"/>
      <c r="AP1042" s="150"/>
      <c r="AQ1042" s="150"/>
      <c r="AT1042" s="186"/>
      <c r="AU1042" s="186"/>
      <c r="AV1042" s="186"/>
      <c r="AW1042" s="186"/>
      <c r="AX1042" s="186"/>
      <c r="AY1042" s="186"/>
      <c r="AZ1042" s="186"/>
      <c r="BA1042" s="186"/>
      <c r="BB1042" s="186"/>
      <c r="BC1042" s="186"/>
      <c r="BD1042" s="186"/>
      <c r="BE1042" s="186"/>
      <c r="BF1042" s="150"/>
      <c r="BG1042" s="150"/>
    </row>
    <row r="1043" spans="3:59" ht="14.6">
      <c r="C1043" s="289"/>
      <c r="D1043" s="150"/>
      <c r="E1043" s="150"/>
      <c r="F1043" s="150"/>
      <c r="G1043" s="150"/>
      <c r="H1043" s="150"/>
      <c r="I1043" s="150"/>
      <c r="J1043" s="150"/>
      <c r="K1043" s="150"/>
      <c r="L1043" s="150"/>
      <c r="M1043" s="150"/>
      <c r="N1043" s="150"/>
      <c r="O1043" s="150"/>
      <c r="P1043" s="150"/>
      <c r="Q1043" s="150"/>
      <c r="R1043" s="150"/>
      <c r="S1043" s="150"/>
      <c r="T1043" s="186"/>
      <c r="U1043" s="186"/>
      <c r="V1043" s="186"/>
      <c r="W1043" s="186"/>
      <c r="X1043" s="186"/>
      <c r="Y1043" s="186"/>
      <c r="Z1043" s="186"/>
      <c r="AA1043" s="186"/>
      <c r="AB1043" s="186"/>
      <c r="AC1043" s="186"/>
      <c r="AD1043" s="186"/>
      <c r="AF1043" s="150"/>
      <c r="AG1043" s="150"/>
      <c r="AH1043" s="150"/>
      <c r="AI1043" s="150"/>
      <c r="AJ1043" s="150"/>
      <c r="AK1043" s="150"/>
      <c r="AL1043" s="150"/>
      <c r="AM1043" s="150"/>
      <c r="AN1043" s="150"/>
      <c r="AO1043" s="150"/>
      <c r="AP1043" s="150"/>
      <c r="AQ1043" s="150"/>
      <c r="AT1043" s="186"/>
      <c r="AU1043" s="186"/>
      <c r="AV1043" s="186"/>
      <c r="AW1043" s="186"/>
      <c r="AX1043" s="186"/>
      <c r="AY1043" s="186"/>
      <c r="AZ1043" s="186"/>
      <c r="BA1043" s="186"/>
      <c r="BB1043" s="186"/>
      <c r="BC1043" s="186"/>
      <c r="BD1043" s="186"/>
      <c r="BE1043" s="186"/>
      <c r="BF1043" s="150"/>
      <c r="BG1043" s="150"/>
    </row>
    <row r="1044" spans="3:59" ht="14.6">
      <c r="C1044" s="289"/>
      <c r="D1044" s="150"/>
      <c r="E1044" s="150"/>
      <c r="F1044" s="150"/>
      <c r="G1044" s="150"/>
      <c r="H1044" s="150"/>
      <c r="I1044" s="150"/>
      <c r="J1044" s="150"/>
      <c r="K1044" s="150"/>
      <c r="L1044" s="150"/>
      <c r="M1044" s="150"/>
      <c r="N1044" s="150"/>
      <c r="O1044" s="150"/>
      <c r="P1044" s="150"/>
      <c r="Q1044" s="150"/>
      <c r="R1044" s="150"/>
      <c r="S1044" s="150"/>
      <c r="T1044" s="186"/>
      <c r="U1044" s="186"/>
      <c r="V1044" s="186"/>
      <c r="W1044" s="186"/>
      <c r="X1044" s="186"/>
      <c r="Y1044" s="186"/>
      <c r="Z1044" s="186"/>
      <c r="AA1044" s="186"/>
      <c r="AB1044" s="186"/>
      <c r="AC1044" s="186"/>
      <c r="AD1044" s="186"/>
      <c r="AF1044" s="150"/>
      <c r="AG1044" s="150"/>
      <c r="AH1044" s="150"/>
      <c r="AI1044" s="150"/>
      <c r="AJ1044" s="150"/>
      <c r="AK1044" s="150"/>
      <c r="AL1044" s="150"/>
      <c r="AM1044" s="150"/>
      <c r="AN1044" s="150"/>
      <c r="AO1044" s="150"/>
      <c r="AP1044" s="150"/>
      <c r="AQ1044" s="150"/>
      <c r="AT1044" s="186"/>
      <c r="AU1044" s="186"/>
      <c r="AV1044" s="186"/>
      <c r="AW1044" s="186"/>
      <c r="AX1044" s="186"/>
      <c r="AY1044" s="186"/>
      <c r="AZ1044" s="186"/>
      <c r="BA1044" s="186"/>
      <c r="BB1044" s="186"/>
      <c r="BC1044" s="186"/>
      <c r="BD1044" s="186"/>
      <c r="BE1044" s="186"/>
      <c r="BF1044" s="150"/>
      <c r="BG1044" s="150"/>
    </row>
    <row r="1045" spans="3:59" ht="14.6">
      <c r="C1045" s="289"/>
      <c r="D1045" s="150"/>
      <c r="E1045" s="150"/>
      <c r="F1045" s="150"/>
      <c r="G1045" s="150"/>
      <c r="H1045" s="150"/>
      <c r="I1045" s="150"/>
      <c r="J1045" s="150"/>
      <c r="K1045" s="150"/>
      <c r="L1045" s="150"/>
      <c r="M1045" s="150"/>
      <c r="N1045" s="150"/>
      <c r="O1045" s="150"/>
      <c r="P1045" s="150"/>
      <c r="Q1045" s="150"/>
      <c r="R1045" s="150"/>
      <c r="S1045" s="150"/>
      <c r="T1045" s="186"/>
      <c r="U1045" s="186"/>
      <c r="V1045" s="186"/>
      <c r="W1045" s="186"/>
      <c r="X1045" s="186"/>
      <c r="Y1045" s="186"/>
      <c r="Z1045" s="186"/>
      <c r="AA1045" s="186"/>
      <c r="AB1045" s="186"/>
      <c r="AC1045" s="186"/>
      <c r="AD1045" s="186"/>
      <c r="AF1045" s="150"/>
      <c r="AG1045" s="150"/>
      <c r="AH1045" s="150"/>
      <c r="AI1045" s="150"/>
      <c r="AJ1045" s="150"/>
      <c r="AK1045" s="150"/>
      <c r="AL1045" s="150"/>
      <c r="AM1045" s="150"/>
      <c r="AN1045" s="150"/>
      <c r="AO1045" s="150"/>
      <c r="AP1045" s="150"/>
      <c r="AQ1045" s="150"/>
      <c r="AT1045" s="186"/>
      <c r="AU1045" s="186"/>
      <c r="AV1045" s="186"/>
      <c r="AW1045" s="186"/>
      <c r="AX1045" s="186"/>
      <c r="AY1045" s="186"/>
      <c r="AZ1045" s="186"/>
      <c r="BA1045" s="186"/>
      <c r="BB1045" s="186"/>
      <c r="BC1045" s="186"/>
      <c r="BD1045" s="186"/>
      <c r="BE1045" s="186"/>
      <c r="BF1045" s="150"/>
      <c r="BG1045" s="150"/>
    </row>
    <row r="1046" spans="3:59" ht="14.6">
      <c r="C1046" s="289"/>
      <c r="D1046" s="150"/>
      <c r="E1046" s="150"/>
      <c r="F1046" s="150"/>
      <c r="G1046" s="150"/>
      <c r="H1046" s="150"/>
      <c r="I1046" s="150"/>
      <c r="J1046" s="150"/>
      <c r="K1046" s="150"/>
      <c r="L1046" s="150"/>
      <c r="M1046" s="150"/>
      <c r="N1046" s="150"/>
      <c r="O1046" s="150"/>
      <c r="P1046" s="150"/>
      <c r="Q1046" s="150"/>
      <c r="R1046" s="150"/>
      <c r="S1046" s="150"/>
      <c r="T1046" s="186"/>
      <c r="U1046" s="186"/>
      <c r="V1046" s="186"/>
      <c r="W1046" s="186"/>
      <c r="X1046" s="186"/>
      <c r="Y1046" s="186"/>
      <c r="Z1046" s="186"/>
      <c r="AA1046" s="186"/>
      <c r="AB1046" s="186"/>
      <c r="AC1046" s="186"/>
      <c r="AD1046" s="186"/>
      <c r="AF1046" s="150"/>
      <c r="AG1046" s="150"/>
      <c r="AH1046" s="150"/>
      <c r="AI1046" s="150"/>
      <c r="AJ1046" s="150"/>
      <c r="AK1046" s="150"/>
      <c r="AL1046" s="150"/>
      <c r="AM1046" s="150"/>
      <c r="AN1046" s="150"/>
      <c r="AO1046" s="150"/>
      <c r="AP1046" s="150"/>
      <c r="AQ1046" s="150"/>
      <c r="AT1046" s="186"/>
      <c r="AU1046" s="186"/>
      <c r="AV1046" s="186"/>
      <c r="AW1046" s="186"/>
      <c r="AX1046" s="186"/>
      <c r="AY1046" s="186"/>
      <c r="AZ1046" s="186"/>
      <c r="BA1046" s="186"/>
      <c r="BB1046" s="186"/>
      <c r="BC1046" s="186"/>
      <c r="BD1046" s="186"/>
      <c r="BE1046" s="186"/>
      <c r="BF1046" s="150"/>
      <c r="BG1046" s="150"/>
    </row>
    <row r="1047" spans="3:59" ht="14.6">
      <c r="C1047" s="289"/>
      <c r="D1047" s="150"/>
      <c r="E1047" s="150"/>
      <c r="F1047" s="150"/>
      <c r="G1047" s="150"/>
      <c r="H1047" s="150"/>
      <c r="I1047" s="150"/>
      <c r="J1047" s="150"/>
      <c r="K1047" s="150"/>
      <c r="L1047" s="150"/>
      <c r="M1047" s="150"/>
      <c r="N1047" s="150"/>
      <c r="O1047" s="150"/>
      <c r="P1047" s="150"/>
      <c r="Q1047" s="150"/>
      <c r="R1047" s="150"/>
      <c r="S1047" s="150"/>
      <c r="T1047" s="186"/>
      <c r="U1047" s="186"/>
      <c r="V1047" s="186"/>
      <c r="W1047" s="186"/>
      <c r="X1047" s="186"/>
      <c r="Y1047" s="186"/>
      <c r="Z1047" s="186"/>
      <c r="AA1047" s="186"/>
      <c r="AB1047" s="186"/>
      <c r="AC1047" s="186"/>
      <c r="AD1047" s="186"/>
      <c r="AF1047" s="150"/>
      <c r="AG1047" s="150"/>
      <c r="AH1047" s="150"/>
      <c r="AI1047" s="150"/>
      <c r="AJ1047" s="150"/>
      <c r="AK1047" s="150"/>
      <c r="AL1047" s="150"/>
      <c r="AM1047" s="150"/>
      <c r="AN1047" s="150"/>
      <c r="AO1047" s="150"/>
      <c r="AP1047" s="150"/>
      <c r="AQ1047" s="150"/>
      <c r="AT1047" s="186"/>
      <c r="AU1047" s="186"/>
      <c r="AV1047" s="186"/>
      <c r="AW1047" s="186"/>
      <c r="AX1047" s="186"/>
      <c r="AY1047" s="186"/>
      <c r="AZ1047" s="186"/>
      <c r="BA1047" s="186"/>
      <c r="BB1047" s="186"/>
      <c r="BC1047" s="186"/>
      <c r="BD1047" s="186"/>
      <c r="BE1047" s="186"/>
      <c r="BF1047" s="150"/>
      <c r="BG1047" s="150"/>
    </row>
    <row r="1048" spans="3:59" ht="14.6">
      <c r="C1048" s="289"/>
      <c r="D1048" s="150"/>
      <c r="E1048" s="150"/>
      <c r="F1048" s="150"/>
      <c r="G1048" s="150"/>
      <c r="H1048" s="150"/>
      <c r="I1048" s="150"/>
      <c r="J1048" s="150"/>
      <c r="K1048" s="150"/>
      <c r="L1048" s="150"/>
      <c r="M1048" s="150"/>
      <c r="N1048" s="150"/>
      <c r="O1048" s="150"/>
      <c r="P1048" s="150"/>
      <c r="Q1048" s="150"/>
      <c r="R1048" s="150"/>
      <c r="S1048" s="150"/>
      <c r="T1048" s="186"/>
      <c r="U1048" s="186"/>
      <c r="V1048" s="186"/>
      <c r="W1048" s="186"/>
      <c r="X1048" s="186"/>
      <c r="Y1048" s="186"/>
      <c r="Z1048" s="186"/>
      <c r="AA1048" s="186"/>
      <c r="AB1048" s="186"/>
      <c r="AC1048" s="186"/>
      <c r="AD1048" s="186"/>
      <c r="AF1048" s="150"/>
      <c r="AG1048" s="150"/>
      <c r="AH1048" s="150"/>
      <c r="AI1048" s="150"/>
      <c r="AJ1048" s="150"/>
      <c r="AK1048" s="150"/>
      <c r="AL1048" s="150"/>
      <c r="AM1048" s="150"/>
      <c r="AN1048" s="150"/>
      <c r="AO1048" s="150"/>
      <c r="AP1048" s="150"/>
      <c r="AQ1048" s="150"/>
      <c r="AT1048" s="186"/>
      <c r="AU1048" s="186"/>
      <c r="AV1048" s="186"/>
      <c r="AW1048" s="186"/>
      <c r="AX1048" s="186"/>
      <c r="AY1048" s="186"/>
      <c r="AZ1048" s="186"/>
      <c r="BA1048" s="186"/>
      <c r="BB1048" s="186"/>
      <c r="BC1048" s="186"/>
      <c r="BD1048" s="186"/>
      <c r="BE1048" s="186"/>
      <c r="BF1048" s="150"/>
      <c r="BG1048" s="150"/>
    </row>
    <row r="1049" spans="3:59" ht="14.6">
      <c r="C1049" s="289"/>
      <c r="D1049" s="150"/>
      <c r="E1049" s="150"/>
      <c r="F1049" s="150"/>
      <c r="G1049" s="150"/>
      <c r="H1049" s="150"/>
      <c r="I1049" s="150"/>
      <c r="J1049" s="150"/>
      <c r="K1049" s="150"/>
      <c r="L1049" s="150"/>
      <c r="M1049" s="150"/>
      <c r="N1049" s="150"/>
      <c r="O1049" s="150"/>
      <c r="P1049" s="150"/>
      <c r="Q1049" s="150"/>
      <c r="R1049" s="150"/>
      <c r="S1049" s="150"/>
      <c r="T1049" s="186"/>
      <c r="U1049" s="186"/>
      <c r="V1049" s="186"/>
      <c r="W1049" s="186"/>
      <c r="X1049" s="186"/>
      <c r="Y1049" s="186"/>
      <c r="Z1049" s="186"/>
      <c r="AA1049" s="186"/>
      <c r="AB1049" s="186"/>
      <c r="AC1049" s="186"/>
      <c r="AD1049" s="186"/>
      <c r="AF1049" s="150"/>
      <c r="AG1049" s="150"/>
      <c r="AH1049" s="150"/>
      <c r="AI1049" s="150"/>
      <c r="AJ1049" s="150"/>
      <c r="AK1049" s="150"/>
      <c r="AL1049" s="150"/>
      <c r="AM1049" s="150"/>
      <c r="AN1049" s="150"/>
      <c r="AO1049" s="150"/>
      <c r="AP1049" s="150"/>
      <c r="AQ1049" s="150"/>
      <c r="AT1049" s="186"/>
      <c r="AU1049" s="186"/>
      <c r="AV1049" s="186"/>
      <c r="AW1049" s="186"/>
      <c r="AX1049" s="186"/>
      <c r="AY1049" s="186"/>
      <c r="AZ1049" s="186"/>
      <c r="BA1049" s="186"/>
      <c r="BB1049" s="186"/>
      <c r="BC1049" s="186"/>
      <c r="BD1049" s="186"/>
      <c r="BE1049" s="186"/>
      <c r="BF1049" s="150"/>
      <c r="BG1049" s="150"/>
    </row>
    <row r="1050" spans="3:59" ht="14.6">
      <c r="C1050" s="289"/>
      <c r="D1050" s="150"/>
      <c r="E1050" s="150"/>
      <c r="F1050" s="150"/>
      <c r="G1050" s="150"/>
      <c r="H1050" s="150"/>
      <c r="I1050" s="150"/>
      <c r="J1050" s="150"/>
      <c r="K1050" s="150"/>
      <c r="L1050" s="150"/>
      <c r="M1050" s="150"/>
      <c r="N1050" s="150"/>
      <c r="O1050" s="150"/>
      <c r="P1050" s="150"/>
      <c r="Q1050" s="150"/>
      <c r="R1050" s="150"/>
      <c r="S1050" s="150"/>
      <c r="T1050" s="186"/>
      <c r="U1050" s="186"/>
      <c r="V1050" s="186"/>
      <c r="W1050" s="186"/>
      <c r="X1050" s="186"/>
      <c r="Y1050" s="186"/>
      <c r="Z1050" s="186"/>
      <c r="AA1050" s="186"/>
      <c r="AB1050" s="186"/>
      <c r="AC1050" s="186"/>
      <c r="AD1050" s="186"/>
      <c r="AF1050" s="150"/>
      <c r="AG1050" s="150"/>
      <c r="AH1050" s="150"/>
      <c r="AI1050" s="150"/>
      <c r="AJ1050" s="150"/>
      <c r="AK1050" s="150"/>
      <c r="AL1050" s="150"/>
      <c r="AM1050" s="150"/>
      <c r="AN1050" s="150"/>
      <c r="AO1050" s="150"/>
      <c r="AP1050" s="150"/>
      <c r="AQ1050" s="150"/>
      <c r="AT1050" s="186"/>
      <c r="AU1050" s="186"/>
      <c r="AV1050" s="186"/>
      <c r="AW1050" s="186"/>
      <c r="AX1050" s="186"/>
      <c r="AY1050" s="186"/>
      <c r="AZ1050" s="186"/>
      <c r="BA1050" s="186"/>
      <c r="BB1050" s="186"/>
      <c r="BC1050" s="186"/>
      <c r="BD1050" s="186"/>
      <c r="BE1050" s="186"/>
      <c r="BF1050" s="150"/>
      <c r="BG1050" s="150"/>
    </row>
    <row r="1051" spans="3:59" ht="14.6">
      <c r="C1051" s="289"/>
      <c r="D1051" s="150"/>
      <c r="E1051" s="150"/>
      <c r="F1051" s="150"/>
      <c r="G1051" s="150"/>
      <c r="H1051" s="150"/>
      <c r="I1051" s="150"/>
      <c r="J1051" s="150"/>
      <c r="K1051" s="150"/>
      <c r="L1051" s="150"/>
      <c r="M1051" s="150"/>
      <c r="N1051" s="150"/>
      <c r="O1051" s="150"/>
      <c r="P1051" s="150"/>
      <c r="Q1051" s="150"/>
      <c r="R1051" s="150"/>
      <c r="S1051" s="150"/>
      <c r="T1051" s="186"/>
      <c r="U1051" s="186"/>
      <c r="V1051" s="186"/>
      <c r="W1051" s="186"/>
      <c r="X1051" s="186"/>
      <c r="Y1051" s="186"/>
      <c r="Z1051" s="186"/>
      <c r="AA1051" s="186"/>
      <c r="AB1051" s="186"/>
      <c r="AC1051" s="186"/>
      <c r="AD1051" s="186"/>
      <c r="AF1051" s="150"/>
      <c r="AG1051" s="150"/>
      <c r="AH1051" s="150"/>
      <c r="AI1051" s="150"/>
      <c r="AJ1051" s="150"/>
      <c r="AK1051" s="150"/>
      <c r="AL1051" s="150"/>
      <c r="AM1051" s="150"/>
      <c r="AN1051" s="150"/>
      <c r="AO1051" s="150"/>
      <c r="AP1051" s="150"/>
      <c r="AQ1051" s="150"/>
      <c r="AT1051" s="186"/>
      <c r="AU1051" s="186"/>
      <c r="AV1051" s="186"/>
      <c r="AW1051" s="186"/>
      <c r="AX1051" s="186"/>
      <c r="AY1051" s="186"/>
      <c r="AZ1051" s="186"/>
      <c r="BA1051" s="186"/>
      <c r="BB1051" s="186"/>
      <c r="BC1051" s="186"/>
      <c r="BD1051" s="186"/>
      <c r="BE1051" s="186"/>
      <c r="BF1051" s="150"/>
      <c r="BG1051" s="150"/>
    </row>
    <row r="1052" spans="3:59" ht="14.6">
      <c r="C1052" s="289"/>
      <c r="D1052" s="150"/>
      <c r="E1052" s="150"/>
      <c r="F1052" s="150"/>
      <c r="G1052" s="150"/>
      <c r="H1052" s="150"/>
      <c r="I1052" s="150"/>
      <c r="J1052" s="150"/>
      <c r="K1052" s="150"/>
      <c r="L1052" s="150"/>
      <c r="M1052" s="150"/>
      <c r="N1052" s="150"/>
      <c r="O1052" s="150"/>
      <c r="P1052" s="150"/>
      <c r="Q1052" s="150"/>
      <c r="R1052" s="150"/>
      <c r="S1052" s="150"/>
      <c r="T1052" s="186"/>
      <c r="U1052" s="186"/>
      <c r="V1052" s="186"/>
      <c r="W1052" s="186"/>
      <c r="X1052" s="186"/>
      <c r="Y1052" s="186"/>
      <c r="Z1052" s="186"/>
      <c r="AA1052" s="186"/>
      <c r="AB1052" s="186"/>
      <c r="AC1052" s="186"/>
      <c r="AD1052" s="186"/>
      <c r="AF1052" s="150"/>
      <c r="AG1052" s="150"/>
      <c r="AH1052" s="150"/>
      <c r="AI1052" s="150"/>
      <c r="AJ1052" s="150"/>
      <c r="AK1052" s="150"/>
      <c r="AL1052" s="150"/>
      <c r="AM1052" s="150"/>
      <c r="AN1052" s="150"/>
      <c r="AO1052" s="150"/>
      <c r="AP1052" s="150"/>
      <c r="AQ1052" s="150"/>
      <c r="AT1052" s="186"/>
      <c r="AU1052" s="186"/>
      <c r="AV1052" s="186"/>
      <c r="AW1052" s="186"/>
      <c r="AX1052" s="186"/>
      <c r="AY1052" s="186"/>
      <c r="AZ1052" s="186"/>
      <c r="BA1052" s="186"/>
      <c r="BB1052" s="186"/>
      <c r="BC1052" s="186"/>
      <c r="BD1052" s="186"/>
      <c r="BE1052" s="186"/>
      <c r="BF1052" s="150"/>
      <c r="BG1052" s="150"/>
    </row>
    <row r="1053" spans="3:59" ht="14.6">
      <c r="C1053" s="289"/>
      <c r="D1053" s="150"/>
      <c r="E1053" s="150"/>
      <c r="F1053" s="150"/>
      <c r="G1053" s="150"/>
      <c r="H1053" s="150"/>
      <c r="I1053" s="150"/>
      <c r="J1053" s="150"/>
      <c r="K1053" s="150"/>
      <c r="L1053" s="150"/>
      <c r="M1053" s="150"/>
      <c r="N1053" s="150"/>
      <c r="O1053" s="150"/>
      <c r="P1053" s="150"/>
      <c r="Q1053" s="150"/>
      <c r="R1053" s="150"/>
      <c r="S1053" s="150"/>
      <c r="T1053" s="186"/>
      <c r="U1053" s="186"/>
      <c r="V1053" s="186"/>
      <c r="W1053" s="186"/>
      <c r="X1053" s="186"/>
      <c r="Y1053" s="186"/>
      <c r="Z1053" s="186"/>
      <c r="AA1053" s="186"/>
      <c r="AB1053" s="186"/>
      <c r="AC1053" s="186"/>
      <c r="AD1053" s="186"/>
      <c r="AF1053" s="150"/>
      <c r="AG1053" s="150"/>
      <c r="AH1053" s="150"/>
      <c r="AI1053" s="150"/>
      <c r="AJ1053" s="150"/>
      <c r="AK1053" s="150"/>
      <c r="AL1053" s="150"/>
      <c r="AM1053" s="150"/>
      <c r="AN1053" s="150"/>
      <c r="AO1053" s="150"/>
      <c r="AP1053" s="150"/>
      <c r="AQ1053" s="150"/>
      <c r="AT1053" s="186"/>
      <c r="AU1053" s="186"/>
      <c r="AV1053" s="186"/>
      <c r="AW1053" s="186"/>
      <c r="AX1053" s="186"/>
      <c r="AY1053" s="186"/>
      <c r="AZ1053" s="186"/>
      <c r="BA1053" s="186"/>
      <c r="BB1053" s="186"/>
      <c r="BC1053" s="186"/>
      <c r="BD1053" s="186"/>
      <c r="BE1053" s="186"/>
      <c r="BF1053" s="150"/>
      <c r="BG1053" s="150"/>
    </row>
    <row r="1054" spans="3:59" ht="14.6">
      <c r="C1054" s="289"/>
      <c r="D1054" s="150"/>
      <c r="E1054" s="150"/>
      <c r="F1054" s="150"/>
      <c r="G1054" s="150"/>
      <c r="H1054" s="150"/>
      <c r="I1054" s="150"/>
      <c r="J1054" s="150"/>
      <c r="K1054" s="150"/>
      <c r="L1054" s="150"/>
      <c r="M1054" s="150"/>
      <c r="N1054" s="150"/>
      <c r="O1054" s="150"/>
      <c r="P1054" s="150"/>
      <c r="Q1054" s="150"/>
      <c r="R1054" s="150"/>
      <c r="S1054" s="150"/>
      <c r="T1054" s="186"/>
      <c r="U1054" s="186"/>
      <c r="V1054" s="186"/>
      <c r="W1054" s="186"/>
      <c r="X1054" s="186"/>
      <c r="Y1054" s="186"/>
      <c r="Z1054" s="186"/>
      <c r="AA1054" s="186"/>
      <c r="AB1054" s="186"/>
      <c r="AC1054" s="186"/>
      <c r="AD1054" s="186"/>
      <c r="AF1054" s="150"/>
      <c r="AG1054" s="150"/>
      <c r="AH1054" s="150"/>
      <c r="AI1054" s="150"/>
      <c r="AJ1054" s="150"/>
      <c r="AK1054" s="150"/>
      <c r="AL1054" s="150"/>
      <c r="AM1054" s="150"/>
      <c r="AN1054" s="150"/>
      <c r="AO1054" s="150"/>
      <c r="AP1054" s="150"/>
      <c r="AQ1054" s="150"/>
      <c r="AT1054" s="186"/>
      <c r="AU1054" s="186"/>
      <c r="AV1054" s="186"/>
      <c r="AW1054" s="186"/>
      <c r="AX1054" s="186"/>
      <c r="AY1054" s="186"/>
      <c r="AZ1054" s="186"/>
      <c r="BA1054" s="186"/>
      <c r="BB1054" s="186"/>
      <c r="BC1054" s="186"/>
      <c r="BD1054" s="186"/>
      <c r="BE1054" s="186"/>
      <c r="BF1054" s="150"/>
      <c r="BG1054" s="150"/>
    </row>
    <row r="1055" spans="3:59" ht="14.6">
      <c r="C1055" s="289"/>
      <c r="D1055" s="150"/>
      <c r="E1055" s="150"/>
      <c r="F1055" s="150"/>
      <c r="G1055" s="150"/>
      <c r="H1055" s="150"/>
      <c r="I1055" s="150"/>
      <c r="J1055" s="150"/>
      <c r="K1055" s="150"/>
      <c r="L1055" s="150"/>
      <c r="M1055" s="150"/>
      <c r="N1055" s="150"/>
      <c r="O1055" s="150"/>
      <c r="P1055" s="150"/>
      <c r="Q1055" s="150"/>
      <c r="R1055" s="150"/>
      <c r="S1055" s="150"/>
      <c r="T1055" s="186"/>
      <c r="U1055" s="186"/>
      <c r="V1055" s="186"/>
      <c r="W1055" s="186"/>
      <c r="X1055" s="186"/>
      <c r="Y1055" s="186"/>
      <c r="Z1055" s="186"/>
      <c r="AA1055" s="186"/>
      <c r="AB1055" s="186"/>
      <c r="AC1055" s="186"/>
      <c r="AD1055" s="186"/>
      <c r="AF1055" s="150"/>
      <c r="AG1055" s="150"/>
      <c r="AH1055" s="150"/>
      <c r="AI1055" s="150"/>
      <c r="AJ1055" s="150"/>
      <c r="AK1055" s="150"/>
      <c r="AL1055" s="150"/>
      <c r="AM1055" s="150"/>
      <c r="AN1055" s="150"/>
      <c r="AO1055" s="150"/>
      <c r="AP1055" s="150"/>
      <c r="AQ1055" s="150"/>
      <c r="AT1055" s="186"/>
      <c r="AU1055" s="186"/>
      <c r="AV1055" s="186"/>
      <c r="AW1055" s="186"/>
      <c r="AX1055" s="186"/>
      <c r="AY1055" s="186"/>
      <c r="AZ1055" s="186"/>
      <c r="BA1055" s="186"/>
      <c r="BB1055" s="186"/>
      <c r="BC1055" s="186"/>
      <c r="BD1055" s="186"/>
      <c r="BE1055" s="186"/>
      <c r="BF1055" s="150"/>
      <c r="BG1055" s="150"/>
    </row>
    <row r="1056" spans="3:59" ht="14.6">
      <c r="C1056" s="289"/>
      <c r="D1056" s="150"/>
      <c r="E1056" s="150"/>
      <c r="F1056" s="150"/>
      <c r="G1056" s="150"/>
      <c r="H1056" s="150"/>
      <c r="I1056" s="150"/>
      <c r="J1056" s="150"/>
      <c r="K1056" s="150"/>
      <c r="L1056" s="150"/>
      <c r="M1056" s="150"/>
      <c r="N1056" s="150"/>
      <c r="O1056" s="150"/>
      <c r="P1056" s="150"/>
      <c r="Q1056" s="150"/>
      <c r="R1056" s="150"/>
      <c r="S1056" s="150"/>
      <c r="T1056" s="186"/>
      <c r="U1056" s="186"/>
      <c r="V1056" s="186"/>
      <c r="W1056" s="186"/>
      <c r="X1056" s="186"/>
      <c r="Y1056" s="186"/>
      <c r="Z1056" s="186"/>
      <c r="AA1056" s="186"/>
      <c r="AB1056" s="186"/>
      <c r="AC1056" s="186"/>
      <c r="AD1056" s="186"/>
      <c r="AF1056" s="150"/>
      <c r="AG1056" s="150"/>
      <c r="AH1056" s="150"/>
      <c r="AI1056" s="150"/>
      <c r="AJ1056" s="150"/>
      <c r="AK1056" s="150"/>
      <c r="AL1056" s="150"/>
      <c r="AM1056" s="150"/>
      <c r="AN1056" s="150"/>
      <c r="AO1056" s="150"/>
      <c r="AP1056" s="150"/>
      <c r="AQ1056" s="150"/>
      <c r="AT1056" s="186"/>
      <c r="AU1056" s="186"/>
      <c r="AV1056" s="186"/>
      <c r="AW1056" s="186"/>
      <c r="AX1056" s="186"/>
      <c r="AY1056" s="186"/>
      <c r="AZ1056" s="186"/>
      <c r="BA1056" s="186"/>
      <c r="BB1056" s="186"/>
      <c r="BC1056" s="186"/>
      <c r="BD1056" s="186"/>
      <c r="BE1056" s="186"/>
      <c r="BF1056" s="150"/>
      <c r="BG1056" s="150"/>
    </row>
    <row r="1057" spans="3:59" ht="14.6">
      <c r="C1057" s="289"/>
      <c r="D1057" s="150"/>
      <c r="E1057" s="150"/>
      <c r="F1057" s="150"/>
      <c r="G1057" s="150"/>
      <c r="H1057" s="150"/>
      <c r="I1057" s="150"/>
      <c r="J1057" s="150"/>
      <c r="K1057" s="150"/>
      <c r="L1057" s="150"/>
      <c r="M1057" s="150"/>
      <c r="N1057" s="150"/>
      <c r="O1057" s="150"/>
      <c r="P1057" s="150"/>
      <c r="Q1057" s="150"/>
      <c r="R1057" s="150"/>
      <c r="S1057" s="150"/>
      <c r="T1057" s="186"/>
      <c r="U1057" s="186"/>
      <c r="V1057" s="186"/>
      <c r="W1057" s="186"/>
      <c r="X1057" s="186"/>
      <c r="Y1057" s="186"/>
      <c r="Z1057" s="186"/>
      <c r="AA1057" s="186"/>
      <c r="AB1057" s="186"/>
      <c r="AC1057" s="186"/>
      <c r="AD1057" s="186"/>
      <c r="AF1057" s="150"/>
      <c r="AG1057" s="150"/>
      <c r="AH1057" s="150"/>
      <c r="AI1057" s="150"/>
      <c r="AJ1057" s="150"/>
      <c r="AK1057" s="150"/>
      <c r="AL1057" s="150"/>
      <c r="AM1057" s="150"/>
      <c r="AN1057" s="150"/>
      <c r="AO1057" s="150"/>
      <c r="AP1057" s="150"/>
      <c r="AQ1057" s="150"/>
      <c r="AT1057" s="186"/>
      <c r="AU1057" s="186"/>
      <c r="AV1057" s="186"/>
      <c r="AW1057" s="186"/>
      <c r="AX1057" s="186"/>
      <c r="AY1057" s="186"/>
      <c r="AZ1057" s="186"/>
      <c r="BA1057" s="186"/>
      <c r="BB1057" s="186"/>
      <c r="BC1057" s="186"/>
      <c r="BD1057" s="186"/>
      <c r="BE1057" s="186"/>
      <c r="BF1057" s="150"/>
      <c r="BG1057" s="150"/>
    </row>
    <row r="1058" spans="3:59" ht="14.6">
      <c r="C1058" s="289"/>
      <c r="D1058" s="150"/>
      <c r="E1058" s="150"/>
      <c r="F1058" s="150"/>
      <c r="G1058" s="150"/>
      <c r="H1058" s="150"/>
      <c r="I1058" s="150"/>
      <c r="J1058" s="150"/>
      <c r="K1058" s="150"/>
      <c r="L1058" s="150"/>
      <c r="M1058" s="150"/>
      <c r="N1058" s="150"/>
      <c r="O1058" s="150"/>
      <c r="P1058" s="150"/>
      <c r="Q1058" s="150"/>
      <c r="R1058" s="150"/>
      <c r="S1058" s="150"/>
      <c r="T1058" s="186"/>
      <c r="U1058" s="186"/>
      <c r="V1058" s="186"/>
      <c r="W1058" s="186"/>
      <c r="X1058" s="186"/>
      <c r="Y1058" s="186"/>
      <c r="Z1058" s="186"/>
      <c r="AA1058" s="186"/>
      <c r="AB1058" s="186"/>
      <c r="AC1058" s="186"/>
      <c r="AD1058" s="186"/>
      <c r="AF1058" s="150"/>
      <c r="AG1058" s="150"/>
      <c r="AH1058" s="150"/>
      <c r="AI1058" s="150"/>
      <c r="AJ1058" s="150"/>
      <c r="AK1058" s="150"/>
      <c r="AL1058" s="150"/>
      <c r="AM1058" s="150"/>
      <c r="AN1058" s="150"/>
      <c r="AO1058" s="150"/>
      <c r="AP1058" s="150"/>
      <c r="AQ1058" s="150"/>
      <c r="AT1058" s="186"/>
      <c r="AU1058" s="186"/>
      <c r="AV1058" s="186"/>
      <c r="AW1058" s="186"/>
      <c r="AX1058" s="186"/>
      <c r="AY1058" s="186"/>
      <c r="AZ1058" s="186"/>
      <c r="BA1058" s="186"/>
      <c r="BB1058" s="186"/>
      <c r="BC1058" s="186"/>
      <c r="BD1058" s="186"/>
      <c r="BE1058" s="186"/>
      <c r="BF1058" s="150"/>
      <c r="BG1058" s="150"/>
    </row>
    <row r="1059" spans="3:59" ht="14.6">
      <c r="C1059" s="289"/>
      <c r="D1059" s="150"/>
      <c r="E1059" s="150"/>
      <c r="F1059" s="150"/>
      <c r="G1059" s="150"/>
      <c r="H1059" s="150"/>
      <c r="I1059" s="150"/>
      <c r="J1059" s="150"/>
      <c r="K1059" s="150"/>
      <c r="L1059" s="150"/>
      <c r="M1059" s="150"/>
      <c r="N1059" s="150"/>
      <c r="O1059" s="150"/>
      <c r="P1059" s="150"/>
      <c r="Q1059" s="150"/>
      <c r="R1059" s="150"/>
      <c r="S1059" s="150"/>
      <c r="T1059" s="186"/>
      <c r="U1059" s="186"/>
      <c r="V1059" s="186"/>
      <c r="W1059" s="186"/>
      <c r="X1059" s="186"/>
      <c r="Y1059" s="186"/>
      <c r="Z1059" s="186"/>
      <c r="AA1059" s="186"/>
      <c r="AB1059" s="186"/>
      <c r="AC1059" s="186"/>
      <c r="AD1059" s="186"/>
      <c r="AF1059" s="150"/>
      <c r="AG1059" s="150"/>
      <c r="AH1059" s="150"/>
      <c r="AI1059" s="150"/>
      <c r="AJ1059" s="150"/>
      <c r="AK1059" s="150"/>
      <c r="AL1059" s="150"/>
      <c r="AM1059" s="150"/>
      <c r="AN1059" s="150"/>
      <c r="AO1059" s="150"/>
      <c r="AP1059" s="150"/>
      <c r="AQ1059" s="150"/>
      <c r="AT1059" s="186"/>
      <c r="AU1059" s="186"/>
      <c r="AV1059" s="186"/>
      <c r="AW1059" s="186"/>
      <c r="AX1059" s="186"/>
      <c r="AY1059" s="186"/>
      <c r="AZ1059" s="186"/>
      <c r="BA1059" s="186"/>
      <c r="BB1059" s="186"/>
      <c r="BC1059" s="186"/>
      <c r="BD1059" s="186"/>
      <c r="BE1059" s="186"/>
      <c r="BF1059" s="150"/>
      <c r="BG1059" s="150"/>
    </row>
    <row r="1060" spans="3:59" ht="14.6">
      <c r="C1060" s="289"/>
      <c r="D1060" s="150"/>
      <c r="E1060" s="150"/>
      <c r="F1060" s="150"/>
      <c r="G1060" s="150"/>
      <c r="H1060" s="150"/>
      <c r="I1060" s="150"/>
      <c r="J1060" s="150"/>
      <c r="K1060" s="150"/>
      <c r="L1060" s="150"/>
      <c r="M1060" s="150"/>
      <c r="N1060" s="150"/>
      <c r="O1060" s="150"/>
      <c r="P1060" s="150"/>
      <c r="Q1060" s="150"/>
      <c r="R1060" s="150"/>
      <c r="S1060" s="150"/>
      <c r="T1060" s="186"/>
      <c r="U1060" s="186"/>
      <c r="V1060" s="186"/>
      <c r="W1060" s="186"/>
      <c r="X1060" s="186"/>
      <c r="Y1060" s="186"/>
      <c r="Z1060" s="186"/>
      <c r="AA1060" s="186"/>
      <c r="AB1060" s="186"/>
      <c r="AC1060" s="186"/>
      <c r="AD1060" s="186"/>
      <c r="AF1060" s="150"/>
      <c r="AG1060" s="150"/>
      <c r="AH1060" s="150"/>
      <c r="AI1060" s="150"/>
      <c r="AJ1060" s="150"/>
      <c r="AK1060" s="150"/>
      <c r="AL1060" s="150"/>
      <c r="AM1060" s="150"/>
      <c r="AN1060" s="150"/>
      <c r="AO1060" s="150"/>
      <c r="AP1060" s="150"/>
      <c r="AQ1060" s="150"/>
      <c r="AT1060" s="186"/>
      <c r="AU1060" s="186"/>
      <c r="AV1060" s="186"/>
      <c r="AW1060" s="186"/>
      <c r="AX1060" s="186"/>
      <c r="AY1060" s="186"/>
      <c r="AZ1060" s="186"/>
      <c r="BA1060" s="186"/>
      <c r="BB1060" s="186"/>
      <c r="BC1060" s="186"/>
      <c r="BD1060" s="186"/>
      <c r="BE1060" s="186"/>
      <c r="BF1060" s="150"/>
      <c r="BG1060" s="150"/>
    </row>
    <row r="1061" spans="3:59" ht="14.6">
      <c r="C1061" s="289"/>
      <c r="D1061" s="150"/>
      <c r="E1061" s="150"/>
      <c r="F1061" s="150"/>
      <c r="G1061" s="150"/>
      <c r="H1061" s="150"/>
      <c r="I1061" s="150"/>
      <c r="J1061" s="150"/>
      <c r="K1061" s="150"/>
      <c r="L1061" s="150"/>
      <c r="M1061" s="150"/>
      <c r="N1061" s="150"/>
      <c r="O1061" s="150"/>
      <c r="P1061" s="150"/>
      <c r="Q1061" s="150"/>
      <c r="R1061" s="150"/>
      <c r="S1061" s="150"/>
      <c r="T1061" s="186"/>
      <c r="U1061" s="186"/>
      <c r="V1061" s="186"/>
      <c r="W1061" s="186"/>
      <c r="X1061" s="186"/>
      <c r="Y1061" s="186"/>
      <c r="Z1061" s="186"/>
      <c r="AA1061" s="186"/>
      <c r="AB1061" s="186"/>
      <c r="AC1061" s="186"/>
      <c r="AD1061" s="186"/>
      <c r="AF1061" s="150"/>
      <c r="AG1061" s="150"/>
      <c r="AH1061" s="150"/>
      <c r="AI1061" s="150"/>
      <c r="AJ1061" s="150"/>
      <c r="AK1061" s="150"/>
      <c r="AL1061" s="150"/>
      <c r="AM1061" s="150"/>
      <c r="AN1061" s="150"/>
      <c r="AO1061" s="150"/>
      <c r="AP1061" s="150"/>
      <c r="AQ1061" s="150"/>
      <c r="AT1061" s="186"/>
      <c r="AU1061" s="186"/>
      <c r="AV1061" s="186"/>
      <c r="AW1061" s="186"/>
      <c r="AX1061" s="186"/>
      <c r="AY1061" s="186"/>
      <c r="AZ1061" s="186"/>
      <c r="BA1061" s="186"/>
      <c r="BB1061" s="186"/>
      <c r="BC1061" s="186"/>
      <c r="BD1061" s="186"/>
      <c r="BE1061" s="186"/>
      <c r="BF1061" s="150"/>
      <c r="BG1061" s="150"/>
    </row>
    <row r="1062" spans="3:59" ht="14.6">
      <c r="C1062" s="289"/>
      <c r="D1062" s="150"/>
      <c r="E1062" s="150"/>
      <c r="F1062" s="150"/>
      <c r="G1062" s="150"/>
      <c r="H1062" s="150"/>
      <c r="I1062" s="150"/>
      <c r="J1062" s="150"/>
      <c r="K1062" s="150"/>
      <c r="L1062" s="150"/>
      <c r="M1062" s="150"/>
      <c r="N1062" s="150"/>
      <c r="O1062" s="150"/>
      <c r="P1062" s="150"/>
      <c r="Q1062" s="150"/>
      <c r="R1062" s="150"/>
      <c r="S1062" s="150"/>
      <c r="T1062" s="186"/>
      <c r="U1062" s="186"/>
      <c r="V1062" s="186"/>
      <c r="W1062" s="186"/>
      <c r="X1062" s="186"/>
      <c r="Y1062" s="186"/>
      <c r="Z1062" s="186"/>
      <c r="AA1062" s="186"/>
      <c r="AB1062" s="186"/>
      <c r="AC1062" s="186"/>
      <c r="AD1062" s="186"/>
      <c r="AF1062" s="150"/>
      <c r="AG1062" s="150"/>
      <c r="AH1062" s="150"/>
      <c r="AI1062" s="150"/>
      <c r="AJ1062" s="150"/>
      <c r="AK1062" s="150"/>
      <c r="AL1062" s="150"/>
      <c r="AM1062" s="150"/>
      <c r="AN1062" s="150"/>
      <c r="AO1062" s="150"/>
      <c r="AP1062" s="150"/>
      <c r="AQ1062" s="150"/>
      <c r="AT1062" s="186"/>
      <c r="AU1062" s="186"/>
      <c r="AV1062" s="186"/>
      <c r="AW1062" s="186"/>
      <c r="AX1062" s="186"/>
      <c r="AY1062" s="186"/>
      <c r="AZ1062" s="186"/>
      <c r="BA1062" s="186"/>
      <c r="BB1062" s="186"/>
      <c r="BC1062" s="186"/>
      <c r="BD1062" s="186"/>
      <c r="BE1062" s="186"/>
      <c r="BF1062" s="150"/>
      <c r="BG1062" s="150"/>
    </row>
    <row r="1063" spans="3:59" ht="14.6">
      <c r="C1063" s="289"/>
      <c r="D1063" s="150"/>
      <c r="E1063" s="150"/>
      <c r="F1063" s="150"/>
      <c r="G1063" s="150"/>
      <c r="H1063" s="150"/>
      <c r="I1063" s="150"/>
      <c r="J1063" s="150"/>
      <c r="K1063" s="150"/>
      <c r="L1063" s="150"/>
      <c r="M1063" s="150"/>
      <c r="N1063" s="150"/>
      <c r="O1063" s="150"/>
      <c r="P1063" s="150"/>
      <c r="Q1063" s="150"/>
      <c r="R1063" s="150"/>
      <c r="S1063" s="150"/>
      <c r="T1063" s="186"/>
      <c r="U1063" s="186"/>
      <c r="V1063" s="186"/>
      <c r="W1063" s="186"/>
      <c r="X1063" s="186"/>
      <c r="Y1063" s="186"/>
      <c r="Z1063" s="186"/>
      <c r="AA1063" s="186"/>
      <c r="AB1063" s="186"/>
      <c r="AC1063" s="186"/>
      <c r="AD1063" s="186"/>
      <c r="AF1063" s="150"/>
      <c r="AG1063" s="150"/>
      <c r="AH1063" s="150"/>
      <c r="AI1063" s="150"/>
      <c r="AJ1063" s="150"/>
      <c r="AK1063" s="150"/>
      <c r="AL1063" s="150"/>
      <c r="AM1063" s="150"/>
      <c r="AN1063" s="150"/>
      <c r="AO1063" s="150"/>
      <c r="AP1063" s="150"/>
      <c r="AQ1063" s="150"/>
      <c r="AT1063" s="186"/>
      <c r="AU1063" s="186"/>
      <c r="AV1063" s="186"/>
      <c r="AW1063" s="186"/>
      <c r="AX1063" s="186"/>
      <c r="AY1063" s="186"/>
      <c r="AZ1063" s="186"/>
      <c r="BA1063" s="186"/>
      <c r="BB1063" s="186"/>
      <c r="BC1063" s="186"/>
      <c r="BD1063" s="186"/>
      <c r="BE1063" s="186"/>
      <c r="BF1063" s="150"/>
      <c r="BG1063" s="150"/>
    </row>
    <row r="1064" spans="3:59" ht="14.6">
      <c r="C1064" s="289"/>
      <c r="D1064" s="150"/>
      <c r="E1064" s="150"/>
      <c r="F1064" s="150"/>
      <c r="G1064" s="150"/>
      <c r="H1064" s="150"/>
      <c r="I1064" s="150"/>
      <c r="J1064" s="150"/>
      <c r="K1064" s="150"/>
      <c r="L1064" s="150"/>
      <c r="M1064" s="150"/>
      <c r="N1064" s="150"/>
      <c r="O1064" s="150"/>
      <c r="P1064" s="150"/>
      <c r="Q1064" s="150"/>
      <c r="R1064" s="150"/>
      <c r="S1064" s="150"/>
      <c r="T1064" s="186"/>
      <c r="U1064" s="186"/>
      <c r="V1064" s="186"/>
      <c r="W1064" s="186"/>
      <c r="X1064" s="186"/>
      <c r="Y1064" s="186"/>
      <c r="Z1064" s="186"/>
      <c r="AA1064" s="186"/>
      <c r="AB1064" s="186"/>
      <c r="AC1064" s="186"/>
      <c r="AD1064" s="186"/>
      <c r="AF1064" s="150"/>
      <c r="AG1064" s="150"/>
      <c r="AH1064" s="150"/>
      <c r="AI1064" s="150"/>
      <c r="AJ1064" s="150"/>
      <c r="AK1064" s="150"/>
      <c r="AL1064" s="150"/>
      <c r="AM1064" s="150"/>
      <c r="AN1064" s="150"/>
      <c r="AO1064" s="150"/>
      <c r="AP1064" s="150"/>
      <c r="AQ1064" s="150"/>
      <c r="AT1064" s="186"/>
      <c r="AU1064" s="186"/>
      <c r="AV1064" s="186"/>
      <c r="AW1064" s="186"/>
      <c r="AX1064" s="186"/>
      <c r="AY1064" s="186"/>
      <c r="AZ1064" s="186"/>
      <c r="BA1064" s="186"/>
      <c r="BB1064" s="186"/>
      <c r="BC1064" s="186"/>
      <c r="BD1064" s="186"/>
      <c r="BE1064" s="186"/>
      <c r="BF1064" s="150"/>
      <c r="BG1064" s="150"/>
    </row>
    <row r="1065" spans="3:59" ht="14.6">
      <c r="C1065" s="289"/>
      <c r="D1065" s="150"/>
      <c r="E1065" s="150"/>
      <c r="F1065" s="150"/>
      <c r="G1065" s="150"/>
      <c r="H1065" s="150"/>
      <c r="I1065" s="150"/>
      <c r="J1065" s="150"/>
      <c r="K1065" s="150"/>
      <c r="L1065" s="150"/>
      <c r="M1065" s="150"/>
      <c r="N1065" s="150"/>
      <c r="O1065" s="150"/>
      <c r="P1065" s="150"/>
      <c r="Q1065" s="150"/>
      <c r="R1065" s="150"/>
      <c r="S1065" s="150"/>
      <c r="T1065" s="186"/>
      <c r="U1065" s="186"/>
      <c r="V1065" s="186"/>
      <c r="W1065" s="186"/>
      <c r="X1065" s="186"/>
      <c r="Y1065" s="186"/>
      <c r="Z1065" s="186"/>
      <c r="AA1065" s="186"/>
      <c r="AB1065" s="186"/>
      <c r="AC1065" s="186"/>
      <c r="AD1065" s="186"/>
      <c r="AF1065" s="150"/>
      <c r="AG1065" s="150"/>
      <c r="AH1065" s="150"/>
      <c r="AI1065" s="150"/>
      <c r="AJ1065" s="150"/>
      <c r="AK1065" s="150"/>
      <c r="AL1065" s="150"/>
      <c r="AM1065" s="150"/>
      <c r="AN1065" s="150"/>
      <c r="AO1065" s="150"/>
      <c r="AP1065" s="150"/>
      <c r="AQ1065" s="150"/>
      <c r="AT1065" s="186"/>
      <c r="AU1065" s="186"/>
      <c r="AV1065" s="186"/>
      <c r="AW1065" s="186"/>
      <c r="AX1065" s="186"/>
      <c r="AY1065" s="186"/>
      <c r="AZ1065" s="186"/>
      <c r="BA1065" s="186"/>
      <c r="BB1065" s="186"/>
      <c r="BC1065" s="186"/>
      <c r="BD1065" s="186"/>
      <c r="BE1065" s="186"/>
      <c r="BF1065" s="150"/>
      <c r="BG1065" s="150"/>
    </row>
    <row r="1066" spans="3:59" ht="14.6">
      <c r="C1066" s="289"/>
      <c r="D1066" s="150"/>
      <c r="E1066" s="150"/>
      <c r="F1066" s="150"/>
      <c r="G1066" s="150"/>
      <c r="H1066" s="150"/>
      <c r="I1066" s="150"/>
      <c r="J1066" s="150"/>
      <c r="K1066" s="150"/>
      <c r="L1066" s="150"/>
      <c r="M1066" s="150"/>
      <c r="N1066" s="150"/>
      <c r="O1066" s="150"/>
      <c r="P1066" s="150"/>
      <c r="Q1066" s="150"/>
      <c r="R1066" s="150"/>
      <c r="S1066" s="150"/>
      <c r="T1066" s="186"/>
      <c r="U1066" s="186"/>
      <c r="V1066" s="186"/>
      <c r="W1066" s="186"/>
      <c r="X1066" s="186"/>
      <c r="Y1066" s="186"/>
      <c r="Z1066" s="186"/>
      <c r="AA1066" s="186"/>
      <c r="AB1066" s="186"/>
      <c r="AC1066" s="186"/>
      <c r="AD1066" s="186"/>
      <c r="AF1066" s="150"/>
      <c r="AG1066" s="150"/>
      <c r="AH1066" s="150"/>
      <c r="AI1066" s="150"/>
      <c r="AJ1066" s="150"/>
      <c r="AK1066" s="150"/>
      <c r="AL1066" s="150"/>
      <c r="AM1066" s="150"/>
      <c r="AN1066" s="150"/>
      <c r="AO1066" s="150"/>
      <c r="AP1066" s="150"/>
      <c r="AQ1066" s="150"/>
      <c r="AT1066" s="186"/>
      <c r="AU1066" s="186"/>
      <c r="AV1066" s="186"/>
      <c r="AW1066" s="186"/>
      <c r="AX1066" s="186"/>
      <c r="AY1066" s="186"/>
      <c r="AZ1066" s="186"/>
      <c r="BA1066" s="186"/>
      <c r="BB1066" s="186"/>
      <c r="BC1066" s="186"/>
      <c r="BD1066" s="186"/>
      <c r="BE1066" s="186"/>
      <c r="BF1066" s="150"/>
      <c r="BG1066" s="150"/>
    </row>
    <row r="1067" spans="3:59" ht="14.6">
      <c r="C1067" s="289"/>
      <c r="D1067" s="150"/>
      <c r="E1067" s="150"/>
      <c r="F1067" s="150"/>
      <c r="G1067" s="150"/>
      <c r="H1067" s="150"/>
      <c r="I1067" s="150"/>
      <c r="J1067" s="150"/>
      <c r="K1067" s="150"/>
      <c r="L1067" s="150"/>
      <c r="M1067" s="150"/>
      <c r="N1067" s="150"/>
      <c r="O1067" s="150"/>
      <c r="P1067" s="150"/>
      <c r="Q1067" s="150"/>
      <c r="R1067" s="150"/>
      <c r="S1067" s="150"/>
      <c r="T1067" s="186"/>
      <c r="U1067" s="186"/>
      <c r="V1067" s="186"/>
      <c r="W1067" s="186"/>
      <c r="X1067" s="186"/>
      <c r="Y1067" s="186"/>
      <c r="Z1067" s="186"/>
      <c r="AA1067" s="186"/>
      <c r="AB1067" s="186"/>
      <c r="AC1067" s="186"/>
      <c r="AD1067" s="186"/>
      <c r="AF1067" s="150"/>
      <c r="AG1067" s="150"/>
      <c r="AH1067" s="150"/>
      <c r="AI1067" s="150"/>
      <c r="AJ1067" s="150"/>
      <c r="AK1067" s="150"/>
      <c r="AL1067" s="150"/>
      <c r="AM1067" s="150"/>
      <c r="AN1067" s="150"/>
      <c r="AO1067" s="150"/>
      <c r="AP1067" s="150"/>
      <c r="AQ1067" s="150"/>
      <c r="AT1067" s="186"/>
      <c r="AU1067" s="186"/>
      <c r="AV1067" s="186"/>
      <c r="AW1067" s="186"/>
      <c r="AX1067" s="186"/>
      <c r="AY1067" s="186"/>
      <c r="AZ1067" s="186"/>
      <c r="BA1067" s="186"/>
      <c r="BB1067" s="186"/>
      <c r="BC1067" s="186"/>
      <c r="BD1067" s="186"/>
      <c r="BE1067" s="186"/>
      <c r="BF1067" s="150"/>
      <c r="BG1067" s="150"/>
    </row>
    <row r="1068" spans="3:59" ht="14.6">
      <c r="C1068" s="289"/>
      <c r="D1068" s="150"/>
      <c r="E1068" s="150"/>
      <c r="F1068" s="150"/>
      <c r="G1068" s="150"/>
      <c r="H1068" s="150"/>
      <c r="I1068" s="150"/>
      <c r="J1068" s="150"/>
      <c r="K1068" s="150"/>
      <c r="L1068" s="150"/>
      <c r="M1068" s="150"/>
      <c r="N1068" s="150"/>
      <c r="O1068" s="150"/>
      <c r="P1068" s="150"/>
      <c r="Q1068" s="150"/>
      <c r="R1068" s="150"/>
      <c r="S1068" s="150"/>
      <c r="T1068" s="186"/>
      <c r="U1068" s="186"/>
      <c r="V1068" s="186"/>
      <c r="W1068" s="186"/>
      <c r="X1068" s="186"/>
      <c r="Y1068" s="186"/>
      <c r="Z1068" s="186"/>
      <c r="AA1068" s="186"/>
      <c r="AB1068" s="186"/>
      <c r="AC1068" s="186"/>
      <c r="AD1068" s="186"/>
      <c r="AF1068" s="150"/>
      <c r="AG1068" s="150"/>
      <c r="AH1068" s="150"/>
      <c r="AI1068" s="150"/>
      <c r="AJ1068" s="150"/>
      <c r="AK1068" s="150"/>
      <c r="AL1068" s="150"/>
      <c r="AM1068" s="150"/>
      <c r="AN1068" s="150"/>
      <c r="AO1068" s="150"/>
      <c r="AP1068" s="150"/>
      <c r="AQ1068" s="150"/>
      <c r="AT1068" s="186"/>
      <c r="AU1068" s="186"/>
      <c r="AV1068" s="186"/>
      <c r="AW1068" s="186"/>
      <c r="AX1068" s="186"/>
      <c r="AY1068" s="186"/>
      <c r="AZ1068" s="186"/>
      <c r="BA1068" s="186"/>
      <c r="BB1068" s="186"/>
      <c r="BC1068" s="186"/>
      <c r="BD1068" s="186"/>
      <c r="BE1068" s="186"/>
      <c r="BF1068" s="150"/>
      <c r="BG1068" s="150"/>
    </row>
    <row r="1069" spans="3:59" ht="14.6">
      <c r="C1069" s="289"/>
      <c r="D1069" s="150"/>
      <c r="E1069" s="150"/>
      <c r="F1069" s="150"/>
      <c r="G1069" s="150"/>
      <c r="H1069" s="150"/>
      <c r="I1069" s="150"/>
      <c r="J1069" s="150"/>
      <c r="K1069" s="150"/>
      <c r="L1069" s="150"/>
      <c r="M1069" s="150"/>
      <c r="N1069" s="150"/>
      <c r="O1069" s="150"/>
      <c r="P1069" s="150"/>
      <c r="Q1069" s="150"/>
      <c r="R1069" s="150"/>
      <c r="S1069" s="150"/>
      <c r="T1069" s="186"/>
      <c r="U1069" s="186"/>
      <c r="V1069" s="186"/>
      <c r="W1069" s="186"/>
      <c r="X1069" s="186"/>
      <c r="Y1069" s="186"/>
      <c r="Z1069" s="186"/>
      <c r="AA1069" s="186"/>
      <c r="AB1069" s="186"/>
      <c r="AC1069" s="186"/>
      <c r="AD1069" s="186"/>
      <c r="AF1069" s="150"/>
      <c r="AG1069" s="150"/>
      <c r="AH1069" s="150"/>
      <c r="AI1069" s="150"/>
      <c r="AJ1069" s="150"/>
      <c r="AK1069" s="150"/>
      <c r="AL1069" s="150"/>
      <c r="AM1069" s="150"/>
      <c r="AN1069" s="150"/>
      <c r="AO1069" s="150"/>
      <c r="AP1069" s="150"/>
      <c r="AQ1069" s="150"/>
      <c r="AT1069" s="186"/>
      <c r="AU1069" s="186"/>
      <c r="AV1069" s="186"/>
      <c r="AW1069" s="186"/>
      <c r="AX1069" s="186"/>
      <c r="AY1069" s="186"/>
      <c r="AZ1069" s="186"/>
      <c r="BA1069" s="186"/>
      <c r="BB1069" s="186"/>
      <c r="BC1069" s="186"/>
      <c r="BD1069" s="186"/>
      <c r="BE1069" s="186"/>
      <c r="BF1069" s="150"/>
      <c r="BG1069" s="150"/>
    </row>
    <row r="1070" spans="3:59" ht="14.6">
      <c r="C1070" s="289"/>
      <c r="D1070" s="150"/>
      <c r="E1070" s="150"/>
      <c r="F1070" s="150"/>
      <c r="G1070" s="150"/>
      <c r="H1070" s="150"/>
      <c r="I1070" s="150"/>
      <c r="J1070" s="150"/>
      <c r="K1070" s="150"/>
      <c r="L1070" s="150"/>
      <c r="M1070" s="150"/>
      <c r="N1070" s="150"/>
      <c r="O1070" s="150"/>
      <c r="P1070" s="150"/>
      <c r="Q1070" s="150"/>
      <c r="R1070" s="150"/>
      <c r="S1070" s="150"/>
      <c r="T1070" s="186"/>
      <c r="U1070" s="186"/>
      <c r="V1070" s="186"/>
      <c r="W1070" s="186"/>
      <c r="X1070" s="186"/>
      <c r="Y1070" s="186"/>
      <c r="Z1070" s="186"/>
      <c r="AA1070" s="186"/>
      <c r="AB1070" s="186"/>
      <c r="AC1070" s="186"/>
      <c r="AD1070" s="186"/>
      <c r="AF1070" s="150"/>
      <c r="AG1070" s="150"/>
      <c r="AH1070" s="150"/>
      <c r="AI1070" s="150"/>
      <c r="AJ1070" s="150"/>
      <c r="AK1070" s="150"/>
      <c r="AL1070" s="150"/>
      <c r="AM1070" s="150"/>
      <c r="AN1070" s="150"/>
      <c r="AO1070" s="150"/>
      <c r="AP1070" s="150"/>
      <c r="AQ1070" s="150"/>
      <c r="AT1070" s="186"/>
      <c r="AU1070" s="186"/>
      <c r="AV1070" s="186"/>
      <c r="AW1070" s="186"/>
      <c r="AX1070" s="186"/>
      <c r="AY1070" s="186"/>
      <c r="AZ1070" s="186"/>
      <c r="BA1070" s="186"/>
      <c r="BB1070" s="186"/>
      <c r="BC1070" s="186"/>
      <c r="BD1070" s="186"/>
      <c r="BE1070" s="186"/>
      <c r="BF1070" s="150"/>
      <c r="BG1070" s="150"/>
    </row>
    <row r="1071" spans="3:59" ht="14.6">
      <c r="C1071" s="289"/>
      <c r="D1071" s="150"/>
      <c r="E1071" s="150"/>
      <c r="F1071" s="150"/>
      <c r="G1071" s="150"/>
      <c r="H1071" s="150"/>
      <c r="I1071" s="150"/>
      <c r="J1071" s="150"/>
      <c r="K1071" s="150"/>
      <c r="L1071" s="150"/>
      <c r="M1071" s="150"/>
      <c r="N1071" s="150"/>
      <c r="O1071" s="150"/>
      <c r="P1071" s="150"/>
      <c r="Q1071" s="150"/>
      <c r="R1071" s="150"/>
      <c r="S1071" s="150"/>
      <c r="T1071" s="186"/>
      <c r="U1071" s="186"/>
      <c r="V1071" s="186"/>
      <c r="W1071" s="186"/>
      <c r="X1071" s="186"/>
      <c r="Y1071" s="186"/>
      <c r="Z1071" s="186"/>
      <c r="AA1071" s="186"/>
      <c r="AB1071" s="186"/>
      <c r="AC1071" s="186"/>
      <c r="AD1071" s="186"/>
      <c r="AF1071" s="150"/>
      <c r="AG1071" s="150"/>
      <c r="AH1071" s="150"/>
      <c r="AI1071" s="150"/>
      <c r="AJ1071" s="150"/>
      <c r="AK1071" s="150"/>
      <c r="AL1071" s="150"/>
      <c r="AM1071" s="150"/>
      <c r="AN1071" s="150"/>
      <c r="AO1071" s="150"/>
      <c r="AP1071" s="150"/>
      <c r="AQ1071" s="150"/>
      <c r="AT1071" s="186"/>
      <c r="AU1071" s="186"/>
      <c r="AV1071" s="186"/>
      <c r="AW1071" s="186"/>
      <c r="AX1071" s="186"/>
      <c r="AY1071" s="186"/>
      <c r="AZ1071" s="186"/>
      <c r="BA1071" s="186"/>
      <c r="BB1071" s="186"/>
      <c r="BC1071" s="186"/>
      <c r="BD1071" s="186"/>
      <c r="BE1071" s="186"/>
      <c r="BF1071" s="150"/>
      <c r="BG1071" s="150"/>
    </row>
    <row r="1072" spans="3:59" ht="14.6">
      <c r="C1072" s="289"/>
      <c r="D1072" s="150"/>
      <c r="E1072" s="150"/>
      <c r="F1072" s="150"/>
      <c r="G1072" s="150"/>
      <c r="H1072" s="150"/>
      <c r="I1072" s="150"/>
      <c r="J1072" s="150"/>
      <c r="K1072" s="150"/>
      <c r="L1072" s="150"/>
      <c r="M1072" s="150"/>
      <c r="N1072" s="150"/>
      <c r="O1072" s="150"/>
      <c r="P1072" s="150"/>
      <c r="Q1072" s="150"/>
      <c r="R1072" s="150"/>
      <c r="S1072" s="150"/>
      <c r="T1072" s="186"/>
      <c r="U1072" s="186"/>
      <c r="V1072" s="186"/>
      <c r="W1072" s="186"/>
      <c r="X1072" s="186"/>
      <c r="Y1072" s="186"/>
      <c r="Z1072" s="186"/>
      <c r="AA1072" s="186"/>
      <c r="AB1072" s="186"/>
      <c r="AC1072" s="186"/>
      <c r="AD1072" s="186"/>
      <c r="AF1072" s="150"/>
      <c r="AG1072" s="150"/>
      <c r="AH1072" s="150"/>
      <c r="AI1072" s="150"/>
      <c r="AJ1072" s="150"/>
      <c r="AK1072" s="150"/>
      <c r="AL1072" s="150"/>
      <c r="AM1072" s="150"/>
      <c r="AN1072" s="150"/>
      <c r="AO1072" s="150"/>
      <c r="AP1072" s="150"/>
      <c r="AQ1072" s="150"/>
      <c r="AT1072" s="186"/>
      <c r="AU1072" s="186"/>
      <c r="AV1072" s="186"/>
      <c r="AW1072" s="186"/>
      <c r="AX1072" s="186"/>
      <c r="AY1072" s="186"/>
      <c r="AZ1072" s="186"/>
      <c r="BA1072" s="186"/>
      <c r="BB1072" s="186"/>
      <c r="BC1072" s="186"/>
      <c r="BD1072" s="186"/>
      <c r="BE1072" s="186"/>
      <c r="BF1072" s="150"/>
      <c r="BG1072" s="150"/>
    </row>
    <row r="1073" spans="3:59" ht="14.6">
      <c r="C1073" s="289"/>
      <c r="D1073" s="150"/>
      <c r="E1073" s="150"/>
      <c r="F1073" s="150"/>
      <c r="G1073" s="150"/>
      <c r="H1073" s="150"/>
      <c r="I1073" s="150"/>
      <c r="J1073" s="150"/>
      <c r="K1073" s="150"/>
      <c r="L1073" s="150"/>
      <c r="M1073" s="150"/>
      <c r="N1073" s="150"/>
      <c r="O1073" s="150"/>
      <c r="P1073" s="150"/>
      <c r="Q1073" s="150"/>
      <c r="R1073" s="150"/>
      <c r="S1073" s="150"/>
      <c r="T1073" s="186"/>
      <c r="U1073" s="186"/>
      <c r="V1073" s="186"/>
      <c r="W1073" s="186"/>
      <c r="X1073" s="186"/>
      <c r="Y1073" s="186"/>
      <c r="Z1073" s="186"/>
      <c r="AA1073" s="186"/>
      <c r="AB1073" s="186"/>
      <c r="AC1073" s="186"/>
      <c r="AD1073" s="186"/>
      <c r="AF1073" s="150"/>
      <c r="AG1073" s="150"/>
      <c r="AH1073" s="150"/>
      <c r="AI1073" s="150"/>
      <c r="AJ1073" s="150"/>
      <c r="AK1073" s="150"/>
      <c r="AL1073" s="150"/>
      <c r="AM1073" s="150"/>
      <c r="AN1073" s="150"/>
      <c r="AO1073" s="150"/>
      <c r="AP1073" s="150"/>
      <c r="AQ1073" s="150"/>
      <c r="AT1073" s="186"/>
      <c r="AU1073" s="186"/>
      <c r="AV1073" s="186"/>
      <c r="AW1073" s="186"/>
      <c r="AX1073" s="186"/>
      <c r="AY1073" s="186"/>
      <c r="AZ1073" s="186"/>
      <c r="BA1073" s="186"/>
      <c r="BB1073" s="186"/>
      <c r="BC1073" s="186"/>
      <c r="BD1073" s="186"/>
      <c r="BE1073" s="186"/>
      <c r="BF1073" s="150"/>
      <c r="BG1073" s="150"/>
    </row>
    <row r="1074" spans="3:59" ht="14.6">
      <c r="C1074" s="289"/>
      <c r="D1074" s="150"/>
      <c r="E1074" s="150"/>
      <c r="F1074" s="150"/>
      <c r="G1074" s="150"/>
      <c r="H1074" s="150"/>
      <c r="I1074" s="150"/>
      <c r="J1074" s="150"/>
      <c r="K1074" s="150"/>
      <c r="L1074" s="150"/>
      <c r="M1074" s="150"/>
      <c r="N1074" s="150"/>
      <c r="O1074" s="150"/>
      <c r="P1074" s="150"/>
      <c r="Q1074" s="150"/>
      <c r="R1074" s="150"/>
      <c r="S1074" s="150"/>
      <c r="T1074" s="186"/>
      <c r="U1074" s="186"/>
      <c r="V1074" s="186"/>
      <c r="W1074" s="186"/>
      <c r="X1074" s="186"/>
      <c r="Y1074" s="186"/>
      <c r="Z1074" s="186"/>
      <c r="AA1074" s="186"/>
      <c r="AB1074" s="186"/>
      <c r="AC1074" s="186"/>
      <c r="AD1074" s="186"/>
      <c r="AF1074" s="150"/>
      <c r="AG1074" s="150"/>
      <c r="AH1074" s="150"/>
      <c r="AI1074" s="150"/>
      <c r="AJ1074" s="150"/>
      <c r="AK1074" s="150"/>
      <c r="AL1074" s="150"/>
      <c r="AM1074" s="150"/>
      <c r="AN1074" s="150"/>
      <c r="AO1074" s="150"/>
      <c r="AP1074" s="150"/>
      <c r="AQ1074" s="150"/>
      <c r="AT1074" s="186"/>
      <c r="AU1074" s="186"/>
      <c r="AV1074" s="186"/>
      <c r="AW1074" s="186"/>
      <c r="AX1074" s="186"/>
      <c r="AY1074" s="186"/>
      <c r="AZ1074" s="186"/>
      <c r="BA1074" s="186"/>
      <c r="BB1074" s="186"/>
      <c r="BC1074" s="186"/>
      <c r="BD1074" s="186"/>
      <c r="BE1074" s="186"/>
      <c r="BF1074" s="150"/>
      <c r="BG1074" s="150"/>
    </row>
    <row r="1075" spans="3:59" ht="14.6">
      <c r="C1075" s="289"/>
      <c r="D1075" s="150"/>
      <c r="E1075" s="150"/>
      <c r="F1075" s="150"/>
      <c r="G1075" s="150"/>
      <c r="H1075" s="150"/>
      <c r="I1075" s="150"/>
      <c r="J1075" s="150"/>
      <c r="K1075" s="150"/>
      <c r="L1075" s="150"/>
      <c r="M1075" s="150"/>
      <c r="N1075" s="150"/>
      <c r="O1075" s="150"/>
      <c r="P1075" s="150"/>
      <c r="Q1075" s="150"/>
      <c r="R1075" s="150"/>
      <c r="S1075" s="150"/>
      <c r="T1075" s="186"/>
      <c r="U1075" s="186"/>
      <c r="V1075" s="186"/>
      <c r="W1075" s="186"/>
      <c r="X1075" s="186"/>
      <c r="Y1075" s="186"/>
      <c r="Z1075" s="186"/>
      <c r="AA1075" s="186"/>
      <c r="AB1075" s="186"/>
      <c r="AC1075" s="186"/>
      <c r="AD1075" s="186"/>
      <c r="AF1075" s="150"/>
      <c r="AG1075" s="150"/>
      <c r="AH1075" s="150"/>
      <c r="AI1075" s="150"/>
      <c r="AJ1075" s="150"/>
      <c r="AK1075" s="150"/>
      <c r="AL1075" s="150"/>
      <c r="AM1075" s="150"/>
      <c r="AN1075" s="150"/>
      <c r="AO1075" s="150"/>
      <c r="AP1075" s="150"/>
      <c r="AQ1075" s="150"/>
      <c r="AT1075" s="186"/>
      <c r="AU1075" s="186"/>
      <c r="AV1075" s="186"/>
      <c r="AW1075" s="186"/>
      <c r="AX1075" s="186"/>
      <c r="AY1075" s="186"/>
      <c r="AZ1075" s="186"/>
      <c r="BA1075" s="186"/>
      <c r="BB1075" s="186"/>
      <c r="BC1075" s="186"/>
      <c r="BD1075" s="186"/>
      <c r="BE1075" s="186"/>
      <c r="BF1075" s="150"/>
      <c r="BG1075" s="150"/>
    </row>
    <row r="1076" spans="3:59" ht="14.6">
      <c r="C1076" s="289"/>
      <c r="D1076" s="150"/>
      <c r="E1076" s="150"/>
      <c r="F1076" s="150"/>
      <c r="G1076" s="150"/>
      <c r="H1076" s="150"/>
      <c r="I1076" s="150"/>
      <c r="J1076" s="150"/>
      <c r="K1076" s="150"/>
      <c r="L1076" s="150"/>
      <c r="M1076" s="150"/>
      <c r="N1076" s="150"/>
      <c r="O1076" s="150"/>
      <c r="P1076" s="150"/>
      <c r="Q1076" s="150"/>
      <c r="R1076" s="150"/>
      <c r="S1076" s="150"/>
      <c r="T1076" s="186"/>
      <c r="U1076" s="186"/>
      <c r="V1076" s="186"/>
      <c r="W1076" s="186"/>
      <c r="X1076" s="186"/>
      <c r="Y1076" s="186"/>
      <c r="Z1076" s="186"/>
      <c r="AA1076" s="186"/>
      <c r="AB1076" s="186"/>
      <c r="AC1076" s="186"/>
      <c r="AD1076" s="186"/>
      <c r="AF1076" s="150"/>
      <c r="AG1076" s="150"/>
      <c r="AH1076" s="150"/>
      <c r="AI1076" s="150"/>
      <c r="AJ1076" s="150"/>
      <c r="AK1076" s="150"/>
      <c r="AL1076" s="150"/>
      <c r="AM1076" s="150"/>
      <c r="AN1076" s="150"/>
      <c r="AO1076" s="150"/>
      <c r="AP1076" s="150"/>
      <c r="AQ1076" s="150"/>
      <c r="AT1076" s="186"/>
      <c r="AU1076" s="186"/>
      <c r="AV1076" s="186"/>
      <c r="AW1076" s="186"/>
      <c r="AX1076" s="186"/>
      <c r="AY1076" s="186"/>
      <c r="AZ1076" s="186"/>
      <c r="BA1076" s="186"/>
      <c r="BB1076" s="186"/>
      <c r="BC1076" s="186"/>
      <c r="BD1076" s="186"/>
      <c r="BE1076" s="186"/>
      <c r="BF1076" s="150"/>
      <c r="BG1076" s="150"/>
    </row>
    <row r="1077" spans="3:59" ht="14.6">
      <c r="C1077" s="289"/>
      <c r="D1077" s="150"/>
      <c r="E1077" s="150"/>
      <c r="F1077" s="150"/>
      <c r="G1077" s="150"/>
      <c r="H1077" s="150"/>
      <c r="I1077" s="150"/>
      <c r="J1077" s="150"/>
      <c r="K1077" s="150"/>
      <c r="L1077" s="150"/>
      <c r="M1077" s="150"/>
      <c r="N1077" s="150"/>
      <c r="O1077" s="150"/>
      <c r="P1077" s="150"/>
      <c r="Q1077" s="150"/>
      <c r="R1077" s="150"/>
      <c r="S1077" s="150"/>
      <c r="T1077" s="186"/>
      <c r="U1077" s="186"/>
      <c r="V1077" s="186"/>
      <c r="W1077" s="186"/>
      <c r="X1077" s="186"/>
      <c r="Y1077" s="186"/>
      <c r="Z1077" s="186"/>
      <c r="AA1077" s="186"/>
      <c r="AB1077" s="186"/>
      <c r="AC1077" s="186"/>
      <c r="AD1077" s="186"/>
      <c r="AF1077" s="150"/>
      <c r="AG1077" s="150"/>
      <c r="AH1077" s="150"/>
      <c r="AI1077" s="150"/>
      <c r="AJ1077" s="150"/>
      <c r="AK1077" s="150"/>
      <c r="AL1077" s="150"/>
      <c r="AM1077" s="150"/>
      <c r="AN1077" s="150"/>
      <c r="AO1077" s="150"/>
      <c r="AP1077" s="150"/>
      <c r="AQ1077" s="150"/>
      <c r="AT1077" s="186"/>
      <c r="AU1077" s="186"/>
      <c r="AV1077" s="186"/>
      <c r="AW1077" s="186"/>
      <c r="AX1077" s="186"/>
      <c r="AY1077" s="186"/>
      <c r="AZ1077" s="186"/>
      <c r="BA1077" s="186"/>
      <c r="BB1077" s="186"/>
      <c r="BC1077" s="186"/>
      <c r="BD1077" s="186"/>
      <c r="BE1077" s="186"/>
      <c r="BF1077" s="150"/>
      <c r="BG1077" s="150"/>
    </row>
    <row r="1078" spans="3:59" ht="14.6">
      <c r="C1078" s="289"/>
      <c r="D1078" s="150"/>
      <c r="E1078" s="150"/>
      <c r="F1078" s="150"/>
      <c r="G1078" s="150"/>
      <c r="H1078" s="150"/>
      <c r="I1078" s="150"/>
      <c r="J1078" s="150"/>
      <c r="K1078" s="150"/>
      <c r="L1078" s="150"/>
      <c r="M1078" s="150"/>
      <c r="N1078" s="150"/>
      <c r="O1078" s="150"/>
      <c r="P1078" s="150"/>
      <c r="Q1078" s="150"/>
      <c r="R1078" s="150"/>
      <c r="S1078" s="150"/>
      <c r="T1078" s="186"/>
      <c r="U1078" s="186"/>
      <c r="V1078" s="186"/>
      <c r="W1078" s="186"/>
      <c r="X1078" s="186"/>
      <c r="Y1078" s="186"/>
      <c r="Z1078" s="186"/>
      <c r="AA1078" s="186"/>
      <c r="AB1078" s="186"/>
      <c r="AC1078" s="186"/>
      <c r="AD1078" s="186"/>
      <c r="AF1078" s="150"/>
      <c r="AG1078" s="150"/>
      <c r="AH1078" s="150"/>
      <c r="AI1078" s="150"/>
      <c r="AJ1078" s="150"/>
      <c r="AK1078" s="150"/>
      <c r="AL1078" s="150"/>
      <c r="AM1078" s="150"/>
      <c r="AN1078" s="150"/>
      <c r="AO1078" s="150"/>
      <c r="AP1078" s="150"/>
      <c r="AQ1078" s="150"/>
      <c r="AT1078" s="186"/>
      <c r="AU1078" s="186"/>
      <c r="AV1078" s="186"/>
      <c r="AW1078" s="186"/>
      <c r="AX1078" s="186"/>
      <c r="AY1078" s="186"/>
      <c r="AZ1078" s="186"/>
      <c r="BA1078" s="186"/>
      <c r="BB1078" s="186"/>
      <c r="BC1078" s="186"/>
      <c r="BD1078" s="186"/>
      <c r="BE1078" s="186"/>
      <c r="BF1078" s="150"/>
      <c r="BG1078" s="150"/>
    </row>
    <row r="1079" spans="3:59" ht="14.6">
      <c r="C1079" s="289"/>
      <c r="D1079" s="150"/>
      <c r="E1079" s="150"/>
      <c r="F1079" s="150"/>
      <c r="G1079" s="150"/>
      <c r="H1079" s="150"/>
      <c r="I1079" s="150"/>
      <c r="J1079" s="150"/>
      <c r="K1079" s="150"/>
      <c r="L1079" s="150"/>
      <c r="M1079" s="150"/>
      <c r="N1079" s="150"/>
      <c r="O1079" s="150"/>
      <c r="P1079" s="150"/>
      <c r="Q1079" s="150"/>
      <c r="R1079" s="150"/>
      <c r="S1079" s="150"/>
      <c r="T1079" s="186"/>
      <c r="U1079" s="186"/>
      <c r="V1079" s="186"/>
      <c r="W1079" s="186"/>
      <c r="X1079" s="186"/>
      <c r="Y1079" s="186"/>
      <c r="Z1079" s="186"/>
      <c r="AA1079" s="186"/>
      <c r="AB1079" s="186"/>
      <c r="AC1079" s="186"/>
      <c r="AD1079" s="186"/>
      <c r="AF1079" s="150"/>
      <c r="AG1079" s="150"/>
      <c r="AH1079" s="150"/>
      <c r="AI1079" s="150"/>
      <c r="AJ1079" s="150"/>
      <c r="AK1079" s="150"/>
      <c r="AL1079" s="150"/>
      <c r="AM1079" s="150"/>
      <c r="AN1079" s="150"/>
      <c r="AO1079" s="150"/>
      <c r="AP1079" s="150"/>
      <c r="AQ1079" s="150"/>
      <c r="AT1079" s="186"/>
      <c r="AU1079" s="186"/>
      <c r="AV1079" s="186"/>
      <c r="AW1079" s="186"/>
      <c r="AX1079" s="186"/>
      <c r="AY1079" s="186"/>
      <c r="AZ1079" s="186"/>
      <c r="BA1079" s="186"/>
      <c r="BB1079" s="186"/>
      <c r="BC1079" s="186"/>
      <c r="BD1079" s="186"/>
      <c r="BE1079" s="186"/>
      <c r="BF1079" s="150"/>
      <c r="BG1079" s="150"/>
    </row>
    <row r="1080" spans="3:59" ht="14.6">
      <c r="C1080" s="289"/>
      <c r="D1080" s="150"/>
      <c r="E1080" s="150"/>
      <c r="F1080" s="150"/>
      <c r="G1080" s="150"/>
      <c r="H1080" s="150"/>
      <c r="I1080" s="150"/>
      <c r="J1080" s="150"/>
      <c r="K1080" s="150"/>
      <c r="L1080" s="150"/>
      <c r="M1080" s="150"/>
      <c r="N1080" s="150"/>
      <c r="O1080" s="150"/>
      <c r="P1080" s="150"/>
      <c r="Q1080" s="150"/>
      <c r="R1080" s="150"/>
      <c r="S1080" s="150"/>
      <c r="T1080" s="186"/>
      <c r="U1080" s="186"/>
      <c r="V1080" s="186"/>
      <c r="W1080" s="186"/>
      <c r="X1080" s="186"/>
      <c r="Y1080" s="186"/>
      <c r="Z1080" s="186"/>
      <c r="AA1080" s="186"/>
      <c r="AB1080" s="186"/>
      <c r="AC1080" s="186"/>
      <c r="AD1080" s="186"/>
      <c r="AF1080" s="150"/>
      <c r="AG1080" s="150"/>
      <c r="AH1080" s="150"/>
      <c r="AI1080" s="150"/>
      <c r="AJ1080" s="150"/>
      <c r="AK1080" s="150"/>
      <c r="AL1080" s="150"/>
      <c r="AM1080" s="150"/>
      <c r="AN1080" s="150"/>
      <c r="AO1080" s="150"/>
      <c r="AP1080" s="150"/>
      <c r="AQ1080" s="150"/>
      <c r="AT1080" s="186"/>
      <c r="AU1080" s="186"/>
      <c r="AV1080" s="186"/>
      <c r="AW1080" s="186"/>
      <c r="AX1080" s="186"/>
      <c r="AY1080" s="186"/>
      <c r="AZ1080" s="186"/>
      <c r="BA1080" s="186"/>
      <c r="BB1080" s="186"/>
      <c r="BC1080" s="186"/>
      <c r="BD1080" s="186"/>
      <c r="BE1080" s="186"/>
      <c r="BF1080" s="150"/>
      <c r="BG1080" s="150"/>
    </row>
    <row r="1081" spans="3:59" ht="14.6">
      <c r="C1081" s="289"/>
      <c r="D1081" s="150"/>
      <c r="E1081" s="150"/>
      <c r="F1081" s="150"/>
      <c r="G1081" s="150"/>
      <c r="H1081" s="150"/>
      <c r="I1081" s="150"/>
      <c r="J1081" s="150"/>
      <c r="K1081" s="150"/>
      <c r="L1081" s="150"/>
      <c r="M1081" s="150"/>
      <c r="N1081" s="150"/>
      <c r="O1081" s="150"/>
      <c r="P1081" s="150"/>
      <c r="Q1081" s="150"/>
      <c r="R1081" s="150"/>
      <c r="S1081" s="150"/>
      <c r="T1081" s="186"/>
      <c r="U1081" s="186"/>
      <c r="V1081" s="186"/>
      <c r="W1081" s="186"/>
      <c r="X1081" s="186"/>
      <c r="Y1081" s="186"/>
      <c r="Z1081" s="186"/>
      <c r="AA1081" s="186"/>
      <c r="AB1081" s="186"/>
      <c r="AC1081" s="186"/>
      <c r="AD1081" s="186"/>
      <c r="AF1081" s="150"/>
      <c r="AG1081" s="150"/>
      <c r="AH1081" s="150"/>
      <c r="AI1081" s="150"/>
      <c r="AJ1081" s="150"/>
      <c r="AK1081" s="150"/>
      <c r="AL1081" s="150"/>
      <c r="AM1081" s="150"/>
      <c r="AN1081" s="150"/>
      <c r="AO1081" s="150"/>
      <c r="AP1081" s="150"/>
      <c r="AQ1081" s="150"/>
      <c r="AT1081" s="186"/>
      <c r="AU1081" s="186"/>
      <c r="AV1081" s="186"/>
      <c r="AW1081" s="186"/>
      <c r="AX1081" s="186"/>
      <c r="AY1081" s="186"/>
      <c r="AZ1081" s="186"/>
      <c r="BA1081" s="186"/>
      <c r="BB1081" s="186"/>
      <c r="BC1081" s="186"/>
      <c r="BD1081" s="186"/>
      <c r="BE1081" s="186"/>
      <c r="BF1081" s="150"/>
      <c r="BG1081" s="150"/>
    </row>
    <row r="1082" spans="3:59" ht="14.6">
      <c r="C1082" s="289"/>
      <c r="D1082" s="150"/>
      <c r="E1082" s="150"/>
      <c r="F1082" s="150"/>
      <c r="G1082" s="150"/>
      <c r="H1082" s="150"/>
      <c r="I1082" s="150"/>
      <c r="J1082" s="150"/>
      <c r="K1082" s="150"/>
      <c r="L1082" s="150"/>
      <c r="M1082" s="150"/>
      <c r="N1082" s="150"/>
      <c r="O1082" s="150"/>
      <c r="P1082" s="150"/>
      <c r="Q1082" s="150"/>
      <c r="R1082" s="150"/>
      <c r="S1082" s="150"/>
      <c r="T1082" s="186"/>
      <c r="U1082" s="186"/>
      <c r="V1082" s="186"/>
      <c r="W1082" s="186"/>
      <c r="X1082" s="186"/>
      <c r="Y1082" s="186"/>
      <c r="Z1082" s="186"/>
      <c r="AA1082" s="186"/>
      <c r="AB1082" s="186"/>
      <c r="AC1082" s="186"/>
      <c r="AD1082" s="186"/>
      <c r="AF1082" s="150"/>
      <c r="AG1082" s="150"/>
      <c r="AH1082" s="150"/>
      <c r="AI1082" s="150"/>
      <c r="AJ1082" s="150"/>
      <c r="AK1082" s="150"/>
      <c r="AL1082" s="150"/>
      <c r="AM1082" s="150"/>
      <c r="AN1082" s="150"/>
      <c r="AO1082" s="150"/>
      <c r="AP1082" s="150"/>
      <c r="AQ1082" s="150"/>
      <c r="AT1082" s="186"/>
      <c r="AU1082" s="186"/>
      <c r="AV1082" s="186"/>
      <c r="AW1082" s="186"/>
      <c r="AX1082" s="186"/>
      <c r="AY1082" s="186"/>
      <c r="AZ1082" s="186"/>
      <c r="BA1082" s="186"/>
      <c r="BB1082" s="186"/>
      <c r="BC1082" s="186"/>
      <c r="BD1082" s="186"/>
      <c r="BE1082" s="186"/>
      <c r="BF1082" s="150"/>
      <c r="BG1082" s="150"/>
    </row>
    <row r="1083" spans="3:59" ht="14.6">
      <c r="C1083" s="289"/>
      <c r="D1083" s="150"/>
      <c r="E1083" s="150"/>
      <c r="F1083" s="150"/>
      <c r="G1083" s="150"/>
      <c r="H1083" s="150"/>
      <c r="I1083" s="150"/>
      <c r="J1083" s="150"/>
      <c r="K1083" s="150"/>
      <c r="L1083" s="150"/>
      <c r="M1083" s="150"/>
      <c r="N1083" s="150"/>
      <c r="O1083" s="150"/>
      <c r="P1083" s="150"/>
      <c r="Q1083" s="150"/>
      <c r="R1083" s="150"/>
      <c r="S1083" s="150"/>
      <c r="T1083" s="186"/>
      <c r="U1083" s="186"/>
      <c r="V1083" s="186"/>
      <c r="W1083" s="186"/>
      <c r="X1083" s="186"/>
      <c r="Y1083" s="186"/>
      <c r="Z1083" s="186"/>
      <c r="AA1083" s="186"/>
      <c r="AB1083" s="186"/>
      <c r="AC1083" s="186"/>
      <c r="AD1083" s="186"/>
      <c r="AF1083" s="150"/>
      <c r="AG1083" s="150"/>
      <c r="AH1083" s="150"/>
      <c r="AI1083" s="150"/>
      <c r="AJ1083" s="150"/>
      <c r="AK1083" s="150"/>
      <c r="AL1083" s="150"/>
      <c r="AM1083" s="150"/>
      <c r="AN1083" s="150"/>
      <c r="AO1083" s="150"/>
      <c r="AP1083" s="150"/>
      <c r="AQ1083" s="150"/>
      <c r="AT1083" s="186"/>
      <c r="AU1083" s="186"/>
      <c r="AV1083" s="186"/>
      <c r="AW1083" s="186"/>
      <c r="AX1083" s="186"/>
      <c r="AY1083" s="186"/>
      <c r="AZ1083" s="186"/>
      <c r="BA1083" s="186"/>
      <c r="BB1083" s="186"/>
      <c r="BC1083" s="186"/>
      <c r="BD1083" s="186"/>
      <c r="BE1083" s="186"/>
      <c r="BF1083" s="150"/>
      <c r="BG1083" s="150"/>
    </row>
    <row r="1084" spans="3:59" ht="14.6">
      <c r="C1084" s="289"/>
      <c r="D1084" s="150"/>
      <c r="E1084" s="150"/>
      <c r="F1084" s="150"/>
      <c r="G1084" s="150"/>
      <c r="H1084" s="150"/>
      <c r="I1084" s="150"/>
      <c r="J1084" s="150"/>
      <c r="K1084" s="150"/>
      <c r="L1084" s="150"/>
      <c r="M1084" s="150"/>
      <c r="N1084" s="150"/>
      <c r="O1084" s="150"/>
      <c r="P1084" s="150"/>
      <c r="Q1084" s="150"/>
      <c r="R1084" s="150"/>
      <c r="S1084" s="150"/>
      <c r="T1084" s="186"/>
      <c r="U1084" s="186"/>
      <c r="V1084" s="186"/>
      <c r="W1084" s="186"/>
      <c r="X1084" s="186"/>
      <c r="Y1084" s="186"/>
      <c r="Z1084" s="186"/>
      <c r="AA1084" s="186"/>
      <c r="AB1084" s="186"/>
      <c r="AC1084" s="186"/>
      <c r="AD1084" s="186"/>
      <c r="AF1084" s="150"/>
      <c r="AG1084" s="150"/>
      <c r="AH1084" s="150"/>
      <c r="AI1084" s="150"/>
      <c r="AJ1084" s="150"/>
      <c r="AK1084" s="150"/>
      <c r="AL1084" s="150"/>
      <c r="AM1084" s="150"/>
      <c r="AN1084" s="150"/>
      <c r="AO1084" s="150"/>
      <c r="AP1084" s="150"/>
      <c r="AQ1084" s="150"/>
      <c r="AT1084" s="186"/>
      <c r="AU1084" s="186"/>
      <c r="AV1084" s="186"/>
      <c r="AW1084" s="186"/>
      <c r="AX1084" s="186"/>
      <c r="AY1084" s="186"/>
      <c r="AZ1084" s="186"/>
      <c r="BA1084" s="186"/>
      <c r="BB1084" s="186"/>
      <c r="BC1084" s="186"/>
      <c r="BD1084" s="186"/>
      <c r="BE1084" s="186"/>
      <c r="BF1084" s="150"/>
      <c r="BG1084" s="150"/>
    </row>
    <row r="1085" spans="3:59" ht="14.6">
      <c r="C1085" s="289"/>
      <c r="D1085" s="150"/>
      <c r="E1085" s="150"/>
      <c r="F1085" s="150"/>
      <c r="G1085" s="150"/>
      <c r="H1085" s="150"/>
      <c r="I1085" s="150"/>
      <c r="J1085" s="150"/>
      <c r="K1085" s="150"/>
      <c r="L1085" s="150"/>
      <c r="M1085" s="150"/>
      <c r="N1085" s="150"/>
      <c r="O1085" s="150"/>
      <c r="P1085" s="150"/>
      <c r="Q1085" s="150"/>
      <c r="R1085" s="150"/>
      <c r="S1085" s="150"/>
      <c r="T1085" s="186"/>
      <c r="U1085" s="186"/>
      <c r="V1085" s="186"/>
      <c r="W1085" s="186"/>
      <c r="X1085" s="186"/>
      <c r="Y1085" s="186"/>
      <c r="Z1085" s="186"/>
      <c r="AA1085" s="186"/>
      <c r="AB1085" s="186"/>
      <c r="AC1085" s="186"/>
      <c r="AD1085" s="186"/>
      <c r="AF1085" s="150"/>
      <c r="AG1085" s="150"/>
      <c r="AH1085" s="150"/>
      <c r="AI1085" s="150"/>
      <c r="AJ1085" s="150"/>
      <c r="AK1085" s="150"/>
      <c r="AL1085" s="150"/>
      <c r="AM1085" s="150"/>
      <c r="AN1085" s="150"/>
      <c r="AO1085" s="150"/>
      <c r="AP1085" s="150"/>
      <c r="AQ1085" s="150"/>
      <c r="AT1085" s="186"/>
      <c r="AU1085" s="186"/>
      <c r="AV1085" s="186"/>
      <c r="AW1085" s="186"/>
      <c r="AX1085" s="186"/>
      <c r="AY1085" s="186"/>
      <c r="AZ1085" s="186"/>
      <c r="BA1085" s="186"/>
      <c r="BB1085" s="186"/>
      <c r="BC1085" s="186"/>
      <c r="BD1085" s="186"/>
      <c r="BE1085" s="186"/>
      <c r="BF1085" s="150"/>
      <c r="BG1085" s="150"/>
    </row>
    <row r="1086" spans="3:59" ht="14.6">
      <c r="C1086" s="289"/>
      <c r="D1086" s="150"/>
      <c r="E1086" s="150"/>
      <c r="F1086" s="150"/>
      <c r="G1086" s="150"/>
      <c r="H1086" s="150"/>
      <c r="I1086" s="150"/>
      <c r="J1086" s="150"/>
      <c r="K1086" s="150"/>
      <c r="L1086" s="150"/>
      <c r="M1086" s="150"/>
      <c r="N1086" s="150"/>
      <c r="O1086" s="150"/>
      <c r="P1086" s="150"/>
      <c r="Q1086" s="150"/>
      <c r="R1086" s="150"/>
      <c r="S1086" s="150"/>
      <c r="T1086" s="186"/>
      <c r="U1086" s="186"/>
      <c r="V1086" s="186"/>
      <c r="W1086" s="186"/>
      <c r="X1086" s="186"/>
      <c r="Y1086" s="186"/>
      <c r="Z1086" s="186"/>
      <c r="AA1086" s="186"/>
      <c r="AB1086" s="186"/>
      <c r="AC1086" s="186"/>
      <c r="AD1086" s="186"/>
      <c r="AF1086" s="150"/>
      <c r="AG1086" s="150"/>
      <c r="AH1086" s="150"/>
      <c r="AI1086" s="150"/>
      <c r="AJ1086" s="150"/>
      <c r="AK1086" s="150"/>
      <c r="AL1086" s="150"/>
      <c r="AM1086" s="150"/>
      <c r="AN1086" s="150"/>
      <c r="AO1086" s="150"/>
      <c r="AP1086" s="150"/>
      <c r="AQ1086" s="150"/>
      <c r="AT1086" s="186"/>
      <c r="AU1086" s="186"/>
      <c r="AV1086" s="186"/>
      <c r="AW1086" s="186"/>
      <c r="AX1086" s="186"/>
      <c r="AY1086" s="186"/>
      <c r="AZ1086" s="186"/>
      <c r="BA1086" s="186"/>
      <c r="BB1086" s="186"/>
      <c r="BC1086" s="186"/>
      <c r="BD1086" s="186"/>
      <c r="BE1086" s="186"/>
      <c r="BF1086" s="150"/>
      <c r="BG1086" s="150"/>
    </row>
    <row r="1087" spans="3:59" ht="14.6">
      <c r="C1087" s="289"/>
      <c r="D1087" s="150"/>
      <c r="E1087" s="150"/>
      <c r="F1087" s="150"/>
      <c r="G1087" s="150"/>
      <c r="H1087" s="150"/>
      <c r="I1087" s="150"/>
      <c r="J1087" s="150"/>
      <c r="K1087" s="150"/>
      <c r="L1087" s="150"/>
      <c r="M1087" s="150"/>
      <c r="N1087" s="150"/>
      <c r="O1087" s="150"/>
      <c r="P1087" s="150"/>
      <c r="Q1087" s="150"/>
      <c r="R1087" s="150"/>
      <c r="S1087" s="150"/>
      <c r="T1087" s="186"/>
      <c r="U1087" s="186"/>
      <c r="V1087" s="186"/>
      <c r="W1087" s="186"/>
      <c r="X1087" s="186"/>
      <c r="Y1087" s="186"/>
      <c r="Z1087" s="186"/>
      <c r="AA1087" s="186"/>
      <c r="AB1087" s="186"/>
      <c r="AC1087" s="186"/>
      <c r="AD1087" s="186"/>
      <c r="AF1087" s="150"/>
      <c r="AG1087" s="150"/>
      <c r="AH1087" s="150"/>
      <c r="AI1087" s="150"/>
      <c r="AJ1087" s="150"/>
      <c r="AK1087" s="150"/>
      <c r="AL1087" s="150"/>
      <c r="AM1087" s="150"/>
      <c r="AN1087" s="150"/>
      <c r="AO1087" s="150"/>
      <c r="AP1087" s="150"/>
      <c r="AQ1087" s="150"/>
      <c r="AT1087" s="186"/>
      <c r="AU1087" s="186"/>
      <c r="AV1087" s="186"/>
      <c r="AW1087" s="186"/>
      <c r="AX1087" s="186"/>
      <c r="AY1087" s="186"/>
      <c r="AZ1087" s="186"/>
      <c r="BA1087" s="186"/>
      <c r="BB1087" s="186"/>
      <c r="BC1087" s="186"/>
      <c r="BD1087" s="186"/>
      <c r="BE1087" s="186"/>
      <c r="BF1087" s="150"/>
      <c r="BG1087" s="150"/>
    </row>
    <row r="1088" spans="3:59" ht="14.6">
      <c r="C1088" s="289"/>
      <c r="D1088" s="150"/>
      <c r="E1088" s="150"/>
      <c r="F1088" s="150"/>
      <c r="G1088" s="150"/>
      <c r="H1088" s="150"/>
      <c r="I1088" s="150"/>
      <c r="J1088" s="150"/>
      <c r="K1088" s="150"/>
      <c r="L1088" s="150"/>
      <c r="M1088" s="150"/>
      <c r="N1088" s="150"/>
      <c r="O1088" s="150"/>
      <c r="P1088" s="150"/>
      <c r="Q1088" s="150"/>
      <c r="R1088" s="150"/>
      <c r="S1088" s="150"/>
      <c r="T1088" s="186"/>
      <c r="U1088" s="186"/>
      <c r="V1088" s="186"/>
      <c r="W1088" s="186"/>
      <c r="X1088" s="186"/>
      <c r="Y1088" s="186"/>
      <c r="Z1088" s="186"/>
      <c r="AA1088" s="186"/>
      <c r="AB1088" s="186"/>
      <c r="AC1088" s="186"/>
      <c r="AD1088" s="186"/>
      <c r="AF1088" s="150"/>
      <c r="AG1088" s="150"/>
      <c r="AH1088" s="150"/>
      <c r="AI1088" s="150"/>
      <c r="AJ1088" s="150"/>
      <c r="AK1088" s="150"/>
      <c r="AL1088" s="150"/>
      <c r="AM1088" s="150"/>
      <c r="AN1088" s="150"/>
      <c r="AO1088" s="150"/>
      <c r="AP1088" s="150"/>
      <c r="AQ1088" s="150"/>
      <c r="AT1088" s="186"/>
      <c r="AU1088" s="186"/>
      <c r="AV1088" s="186"/>
      <c r="AW1088" s="186"/>
      <c r="AX1088" s="186"/>
      <c r="AY1088" s="186"/>
      <c r="AZ1088" s="186"/>
      <c r="BA1088" s="186"/>
      <c r="BB1088" s="186"/>
      <c r="BC1088" s="186"/>
      <c r="BD1088" s="186"/>
      <c r="BE1088" s="186"/>
      <c r="BF1088" s="150"/>
      <c r="BG1088" s="150"/>
    </row>
    <row r="1089" spans="3:59" ht="14.6">
      <c r="C1089" s="289"/>
      <c r="D1089" s="150"/>
      <c r="E1089" s="150"/>
      <c r="F1089" s="150"/>
      <c r="G1089" s="150"/>
      <c r="H1089" s="150"/>
      <c r="I1089" s="150"/>
      <c r="J1089" s="150"/>
      <c r="K1089" s="150"/>
      <c r="L1089" s="150"/>
      <c r="M1089" s="150"/>
      <c r="N1089" s="150"/>
      <c r="O1089" s="150"/>
      <c r="P1089" s="150"/>
      <c r="Q1089" s="150"/>
      <c r="R1089" s="150"/>
      <c r="S1089" s="150"/>
      <c r="T1089" s="186"/>
      <c r="U1089" s="186"/>
      <c r="V1089" s="186"/>
      <c r="W1089" s="186"/>
      <c r="X1089" s="186"/>
      <c r="Y1089" s="186"/>
      <c r="Z1089" s="186"/>
      <c r="AA1089" s="186"/>
      <c r="AB1089" s="186"/>
      <c r="AC1089" s="186"/>
      <c r="AD1089" s="186"/>
      <c r="AF1089" s="150"/>
      <c r="AG1089" s="150"/>
      <c r="AH1089" s="150"/>
      <c r="AI1089" s="150"/>
      <c r="AJ1089" s="150"/>
      <c r="AK1089" s="150"/>
      <c r="AL1089" s="150"/>
      <c r="AM1089" s="150"/>
      <c r="AN1089" s="150"/>
      <c r="AO1089" s="150"/>
      <c r="AP1089" s="150"/>
      <c r="AQ1089" s="150"/>
      <c r="AT1089" s="186"/>
      <c r="AU1089" s="186"/>
      <c r="AV1089" s="186"/>
      <c r="AW1089" s="186"/>
      <c r="AX1089" s="186"/>
      <c r="AY1089" s="186"/>
      <c r="AZ1089" s="186"/>
      <c r="BA1089" s="186"/>
      <c r="BB1089" s="186"/>
      <c r="BC1089" s="186"/>
      <c r="BD1089" s="186"/>
      <c r="BE1089" s="186"/>
      <c r="BF1089" s="150"/>
      <c r="BG1089" s="150"/>
    </row>
    <row r="1090" spans="3:59" ht="14.6">
      <c r="C1090" s="289"/>
      <c r="D1090" s="150"/>
      <c r="E1090" s="150"/>
      <c r="F1090" s="150"/>
      <c r="G1090" s="150"/>
      <c r="H1090" s="150"/>
      <c r="I1090" s="150"/>
      <c r="J1090" s="150"/>
      <c r="K1090" s="150"/>
      <c r="L1090" s="150"/>
      <c r="M1090" s="150"/>
      <c r="N1090" s="150"/>
      <c r="O1090" s="150"/>
      <c r="P1090" s="150"/>
      <c r="Q1090" s="150"/>
      <c r="R1090" s="150"/>
      <c r="S1090" s="150"/>
      <c r="T1090" s="186"/>
      <c r="U1090" s="186"/>
      <c r="V1090" s="186"/>
      <c r="W1090" s="186"/>
      <c r="X1090" s="186"/>
      <c r="Y1090" s="186"/>
      <c r="Z1090" s="186"/>
      <c r="AA1090" s="186"/>
      <c r="AB1090" s="186"/>
      <c r="AC1090" s="186"/>
      <c r="AD1090" s="186"/>
      <c r="AF1090" s="150"/>
      <c r="AG1090" s="150"/>
      <c r="AH1090" s="150"/>
      <c r="AI1090" s="150"/>
      <c r="AJ1090" s="150"/>
      <c r="AK1090" s="150"/>
      <c r="AL1090" s="150"/>
      <c r="AM1090" s="150"/>
      <c r="AN1090" s="150"/>
      <c r="AO1090" s="150"/>
      <c r="AP1090" s="150"/>
      <c r="AQ1090" s="150"/>
      <c r="AT1090" s="186"/>
      <c r="AU1090" s="186"/>
      <c r="AV1090" s="186"/>
      <c r="AW1090" s="186"/>
      <c r="AX1090" s="186"/>
      <c r="AY1090" s="186"/>
      <c r="AZ1090" s="186"/>
      <c r="BA1090" s="186"/>
      <c r="BB1090" s="186"/>
      <c r="BC1090" s="186"/>
      <c r="BD1090" s="186"/>
      <c r="BE1090" s="186"/>
      <c r="BF1090" s="150"/>
      <c r="BG1090" s="150"/>
    </row>
    <row r="1091" spans="3:59" ht="14.6">
      <c r="C1091" s="289"/>
      <c r="D1091" s="150"/>
      <c r="E1091" s="150"/>
      <c r="F1091" s="150"/>
      <c r="G1091" s="150"/>
      <c r="H1091" s="150"/>
      <c r="I1091" s="150"/>
      <c r="J1091" s="150"/>
      <c r="K1091" s="150"/>
      <c r="L1091" s="150"/>
      <c r="M1091" s="150"/>
      <c r="N1091" s="150"/>
      <c r="O1091" s="150"/>
      <c r="P1091" s="150"/>
      <c r="Q1091" s="150"/>
      <c r="R1091" s="150"/>
      <c r="S1091" s="150"/>
      <c r="T1091" s="186"/>
      <c r="U1091" s="186"/>
      <c r="V1091" s="186"/>
      <c r="W1091" s="186"/>
      <c r="X1091" s="186"/>
      <c r="Y1091" s="186"/>
      <c r="Z1091" s="186"/>
      <c r="AA1091" s="186"/>
      <c r="AB1091" s="186"/>
      <c r="AC1091" s="186"/>
      <c r="AD1091" s="186"/>
      <c r="AF1091" s="150"/>
      <c r="AG1091" s="150"/>
      <c r="AH1091" s="150"/>
      <c r="AI1091" s="150"/>
      <c r="AJ1091" s="150"/>
      <c r="AK1091" s="150"/>
      <c r="AL1091" s="150"/>
      <c r="AM1091" s="150"/>
      <c r="AN1091" s="150"/>
      <c r="AO1091" s="150"/>
      <c r="AP1091" s="150"/>
      <c r="AQ1091" s="150"/>
      <c r="AT1091" s="186"/>
      <c r="AU1091" s="186"/>
      <c r="AV1091" s="186"/>
      <c r="AW1091" s="186"/>
      <c r="AX1091" s="186"/>
      <c r="AY1091" s="186"/>
      <c r="AZ1091" s="186"/>
      <c r="BA1091" s="186"/>
      <c r="BB1091" s="186"/>
      <c r="BC1091" s="186"/>
      <c r="BD1091" s="186"/>
      <c r="BE1091" s="186"/>
      <c r="BF1091" s="150"/>
      <c r="BG1091" s="150"/>
    </row>
    <row r="1092" spans="3:59" ht="14.6">
      <c r="C1092" s="289"/>
      <c r="D1092" s="150"/>
      <c r="E1092" s="150"/>
      <c r="F1092" s="150"/>
      <c r="G1092" s="150"/>
      <c r="H1092" s="150"/>
      <c r="I1092" s="150"/>
      <c r="J1092" s="150"/>
      <c r="K1092" s="150"/>
      <c r="L1092" s="150"/>
      <c r="M1092" s="150"/>
      <c r="N1092" s="150"/>
      <c r="O1092" s="150"/>
      <c r="P1092" s="150"/>
      <c r="Q1092" s="150"/>
      <c r="R1092" s="150"/>
      <c r="S1092" s="150"/>
      <c r="T1092" s="186"/>
      <c r="U1092" s="186"/>
      <c r="V1092" s="186"/>
      <c r="W1092" s="186"/>
      <c r="X1092" s="186"/>
      <c r="Y1092" s="186"/>
      <c r="Z1092" s="186"/>
      <c r="AA1092" s="186"/>
      <c r="AB1092" s="186"/>
      <c r="AC1092" s="186"/>
      <c r="AD1092" s="186"/>
      <c r="AF1092" s="150"/>
      <c r="AG1092" s="150"/>
      <c r="AH1092" s="150"/>
      <c r="AI1092" s="150"/>
      <c r="AJ1092" s="150"/>
      <c r="AK1092" s="150"/>
      <c r="AL1092" s="150"/>
      <c r="AM1092" s="150"/>
      <c r="AN1092" s="150"/>
      <c r="AO1092" s="150"/>
      <c r="AP1092" s="150"/>
      <c r="AQ1092" s="150"/>
      <c r="AT1092" s="186"/>
      <c r="AU1092" s="186"/>
      <c r="AV1092" s="186"/>
      <c r="AW1092" s="186"/>
      <c r="AX1092" s="186"/>
      <c r="AY1092" s="186"/>
      <c r="AZ1092" s="186"/>
      <c r="BA1092" s="186"/>
      <c r="BB1092" s="186"/>
      <c r="BC1092" s="186"/>
      <c r="BD1092" s="186"/>
      <c r="BE1092" s="186"/>
      <c r="BF1092" s="150"/>
      <c r="BG1092" s="150"/>
    </row>
    <row r="1093" spans="3:59" ht="14.6">
      <c r="C1093" s="289"/>
      <c r="D1093" s="150"/>
      <c r="E1093" s="150"/>
      <c r="F1093" s="150"/>
      <c r="G1093" s="150"/>
      <c r="H1093" s="150"/>
      <c r="I1093" s="150"/>
      <c r="J1093" s="150"/>
      <c r="K1093" s="150"/>
      <c r="L1093" s="150"/>
      <c r="M1093" s="150"/>
      <c r="N1093" s="150"/>
      <c r="O1093" s="150"/>
      <c r="P1093" s="150"/>
      <c r="Q1093" s="150"/>
      <c r="R1093" s="150"/>
      <c r="S1093" s="150"/>
      <c r="T1093" s="186"/>
      <c r="U1093" s="186"/>
      <c r="V1093" s="186"/>
      <c r="W1093" s="186"/>
      <c r="X1093" s="186"/>
      <c r="Y1093" s="186"/>
      <c r="Z1093" s="186"/>
      <c r="AA1093" s="186"/>
      <c r="AB1093" s="186"/>
      <c r="AC1093" s="186"/>
      <c r="AD1093" s="186"/>
      <c r="AF1093" s="150"/>
      <c r="AG1093" s="150"/>
      <c r="AH1093" s="150"/>
      <c r="AI1093" s="150"/>
      <c r="AJ1093" s="150"/>
      <c r="AK1093" s="150"/>
      <c r="AL1093" s="150"/>
      <c r="AM1093" s="150"/>
      <c r="AN1093" s="150"/>
      <c r="AO1093" s="150"/>
      <c r="AP1093" s="150"/>
      <c r="AQ1093" s="150"/>
      <c r="AT1093" s="186"/>
      <c r="AU1093" s="186"/>
      <c r="AV1093" s="186"/>
      <c r="AW1093" s="186"/>
      <c r="AX1093" s="186"/>
      <c r="AY1093" s="186"/>
      <c r="AZ1093" s="186"/>
      <c r="BA1093" s="186"/>
      <c r="BB1093" s="186"/>
      <c r="BC1093" s="186"/>
      <c r="BD1093" s="186"/>
      <c r="BE1093" s="186"/>
      <c r="BF1093" s="150"/>
      <c r="BG1093" s="150"/>
    </row>
    <row r="1094" spans="3:59" ht="14.6">
      <c r="C1094" s="289"/>
      <c r="D1094" s="150"/>
      <c r="E1094" s="150"/>
      <c r="F1094" s="150"/>
      <c r="G1094" s="150"/>
      <c r="H1094" s="150"/>
      <c r="I1094" s="150"/>
      <c r="J1094" s="150"/>
      <c r="K1094" s="150"/>
      <c r="L1094" s="150"/>
      <c r="M1094" s="150"/>
      <c r="N1094" s="150"/>
      <c r="O1094" s="150"/>
      <c r="P1094" s="150"/>
      <c r="Q1094" s="150"/>
      <c r="R1094" s="150"/>
      <c r="S1094" s="150"/>
      <c r="T1094" s="186"/>
      <c r="U1094" s="186"/>
      <c r="V1094" s="186"/>
      <c r="W1094" s="186"/>
      <c r="X1094" s="186"/>
      <c r="Y1094" s="186"/>
      <c r="Z1094" s="186"/>
      <c r="AA1094" s="186"/>
      <c r="AB1094" s="186"/>
      <c r="AC1094" s="186"/>
      <c r="AD1094" s="186"/>
      <c r="AF1094" s="150"/>
      <c r="AG1094" s="150"/>
      <c r="AH1094" s="150"/>
      <c r="AI1094" s="150"/>
      <c r="AJ1094" s="150"/>
      <c r="AK1094" s="150"/>
      <c r="AL1094" s="150"/>
      <c r="AM1094" s="150"/>
      <c r="AN1094" s="150"/>
      <c r="AO1094" s="150"/>
      <c r="AP1094" s="150"/>
      <c r="AQ1094" s="150"/>
      <c r="AT1094" s="186"/>
      <c r="AU1094" s="186"/>
      <c r="AV1094" s="186"/>
      <c r="AW1094" s="186"/>
      <c r="AX1094" s="186"/>
      <c r="AY1094" s="186"/>
      <c r="AZ1094" s="186"/>
      <c r="BA1094" s="186"/>
      <c r="BB1094" s="186"/>
      <c r="BC1094" s="186"/>
      <c r="BD1094" s="186"/>
      <c r="BE1094" s="186"/>
      <c r="BF1094" s="150"/>
      <c r="BG1094" s="150"/>
    </row>
    <row r="1095" spans="3:59" ht="14.6">
      <c r="C1095" s="289"/>
      <c r="D1095" s="150"/>
      <c r="E1095" s="150"/>
      <c r="F1095" s="150"/>
      <c r="G1095" s="150"/>
      <c r="H1095" s="150"/>
      <c r="I1095" s="150"/>
      <c r="J1095" s="150"/>
      <c r="K1095" s="150"/>
      <c r="L1095" s="150"/>
      <c r="M1095" s="150"/>
      <c r="N1095" s="150"/>
      <c r="O1095" s="150"/>
      <c r="P1095" s="150"/>
      <c r="Q1095" s="150"/>
      <c r="R1095" s="150"/>
      <c r="S1095" s="150"/>
      <c r="T1095" s="186"/>
      <c r="U1095" s="186"/>
      <c r="V1095" s="186"/>
      <c r="W1095" s="186"/>
      <c r="X1095" s="186"/>
      <c r="Y1095" s="186"/>
      <c r="Z1095" s="186"/>
      <c r="AA1095" s="186"/>
      <c r="AB1095" s="186"/>
      <c r="AC1095" s="186"/>
      <c r="AD1095" s="186"/>
      <c r="AF1095" s="150"/>
      <c r="AG1095" s="150"/>
      <c r="AH1095" s="150"/>
      <c r="AI1095" s="150"/>
      <c r="AJ1095" s="150"/>
      <c r="AK1095" s="150"/>
      <c r="AL1095" s="150"/>
      <c r="AM1095" s="150"/>
      <c r="AN1095" s="150"/>
      <c r="AO1095" s="150"/>
      <c r="AP1095" s="150"/>
      <c r="AQ1095" s="150"/>
      <c r="AT1095" s="186"/>
      <c r="AU1095" s="186"/>
      <c r="AV1095" s="186"/>
      <c r="AW1095" s="186"/>
      <c r="AX1095" s="186"/>
      <c r="AY1095" s="186"/>
      <c r="AZ1095" s="186"/>
      <c r="BA1095" s="186"/>
      <c r="BB1095" s="186"/>
      <c r="BC1095" s="186"/>
      <c r="BD1095" s="186"/>
      <c r="BE1095" s="186"/>
      <c r="BF1095" s="150"/>
      <c r="BG1095" s="150"/>
    </row>
    <row r="1096" spans="3:59" ht="14.6">
      <c r="C1096" s="289"/>
      <c r="D1096" s="150"/>
      <c r="E1096" s="150"/>
      <c r="F1096" s="150"/>
      <c r="G1096" s="150"/>
      <c r="H1096" s="150"/>
      <c r="I1096" s="150"/>
      <c r="J1096" s="150"/>
      <c r="K1096" s="150"/>
      <c r="L1096" s="150"/>
      <c r="M1096" s="150"/>
      <c r="N1096" s="150"/>
      <c r="O1096" s="150"/>
      <c r="P1096" s="150"/>
      <c r="Q1096" s="150"/>
      <c r="R1096" s="150"/>
      <c r="S1096" s="150"/>
      <c r="T1096" s="186"/>
      <c r="U1096" s="186"/>
      <c r="V1096" s="186"/>
      <c r="W1096" s="186"/>
      <c r="X1096" s="186"/>
      <c r="Y1096" s="186"/>
      <c r="Z1096" s="186"/>
      <c r="AA1096" s="186"/>
      <c r="AB1096" s="186"/>
      <c r="AC1096" s="186"/>
      <c r="AD1096" s="186"/>
      <c r="AF1096" s="150"/>
      <c r="AG1096" s="150"/>
      <c r="AH1096" s="150"/>
      <c r="AI1096" s="150"/>
      <c r="AJ1096" s="150"/>
      <c r="AK1096" s="150"/>
      <c r="AL1096" s="150"/>
      <c r="AM1096" s="150"/>
      <c r="AN1096" s="150"/>
      <c r="AO1096" s="150"/>
      <c r="AP1096" s="150"/>
      <c r="AQ1096" s="150"/>
      <c r="AT1096" s="186"/>
      <c r="AU1096" s="186"/>
      <c r="AV1096" s="186"/>
      <c r="AW1096" s="186"/>
      <c r="AX1096" s="186"/>
      <c r="AY1096" s="186"/>
      <c r="AZ1096" s="186"/>
      <c r="BA1096" s="186"/>
      <c r="BB1096" s="186"/>
      <c r="BC1096" s="186"/>
      <c r="BD1096" s="186"/>
      <c r="BE1096" s="186"/>
      <c r="BF1096" s="150"/>
      <c r="BG1096" s="150"/>
    </row>
    <row r="1097" spans="3:59" ht="14.6">
      <c r="C1097" s="289"/>
      <c r="D1097" s="150"/>
      <c r="E1097" s="150"/>
      <c r="F1097" s="150"/>
      <c r="G1097" s="150"/>
      <c r="H1097" s="150"/>
      <c r="I1097" s="150"/>
      <c r="J1097" s="150"/>
      <c r="K1097" s="150"/>
      <c r="L1097" s="150"/>
      <c r="M1097" s="150"/>
      <c r="N1097" s="150"/>
      <c r="O1097" s="150"/>
      <c r="P1097" s="150"/>
      <c r="Q1097" s="150"/>
      <c r="R1097" s="150"/>
      <c r="S1097" s="150"/>
      <c r="T1097" s="186"/>
      <c r="U1097" s="186"/>
      <c r="V1097" s="186"/>
      <c r="W1097" s="186"/>
      <c r="X1097" s="186"/>
      <c r="Y1097" s="186"/>
      <c r="Z1097" s="186"/>
      <c r="AA1097" s="186"/>
      <c r="AB1097" s="186"/>
      <c r="AC1097" s="186"/>
      <c r="AD1097" s="186"/>
      <c r="AF1097" s="150"/>
      <c r="AG1097" s="150"/>
      <c r="AH1097" s="150"/>
      <c r="AI1097" s="150"/>
      <c r="AJ1097" s="150"/>
      <c r="AK1097" s="150"/>
      <c r="AL1097" s="150"/>
      <c r="AM1097" s="150"/>
      <c r="AN1097" s="150"/>
      <c r="AO1097" s="150"/>
      <c r="AP1097" s="150"/>
      <c r="AQ1097" s="150"/>
      <c r="AT1097" s="186"/>
      <c r="AU1097" s="186"/>
      <c r="AV1097" s="186"/>
      <c r="AW1097" s="186"/>
      <c r="AX1097" s="186"/>
      <c r="AY1097" s="186"/>
      <c r="AZ1097" s="186"/>
      <c r="BA1097" s="186"/>
      <c r="BB1097" s="186"/>
      <c r="BC1097" s="186"/>
      <c r="BD1097" s="186"/>
      <c r="BE1097" s="186"/>
      <c r="BF1097" s="150"/>
      <c r="BG1097" s="150"/>
    </row>
    <row r="1098" spans="3:59" ht="14.6">
      <c r="C1098" s="289"/>
      <c r="D1098" s="150"/>
      <c r="E1098" s="150"/>
      <c r="F1098" s="150"/>
      <c r="G1098" s="150"/>
      <c r="H1098" s="150"/>
      <c r="I1098" s="150"/>
      <c r="J1098" s="150"/>
      <c r="K1098" s="150"/>
      <c r="L1098" s="150"/>
      <c r="M1098" s="150"/>
      <c r="N1098" s="150"/>
      <c r="O1098" s="150"/>
      <c r="P1098" s="150"/>
      <c r="Q1098" s="150"/>
      <c r="R1098" s="150"/>
      <c r="S1098" s="150"/>
      <c r="T1098" s="186"/>
      <c r="U1098" s="186"/>
      <c r="V1098" s="186"/>
      <c r="W1098" s="186"/>
      <c r="X1098" s="186"/>
      <c r="Y1098" s="186"/>
      <c r="Z1098" s="186"/>
      <c r="AA1098" s="186"/>
      <c r="AB1098" s="186"/>
      <c r="AC1098" s="186"/>
      <c r="AD1098" s="186"/>
      <c r="AF1098" s="150"/>
      <c r="AG1098" s="150"/>
      <c r="AH1098" s="150"/>
      <c r="AI1098" s="150"/>
      <c r="AJ1098" s="150"/>
      <c r="AK1098" s="150"/>
      <c r="AL1098" s="150"/>
      <c r="AM1098" s="150"/>
      <c r="AN1098" s="150"/>
      <c r="AO1098" s="150"/>
      <c r="AP1098" s="150"/>
      <c r="AQ1098" s="150"/>
      <c r="AT1098" s="186"/>
      <c r="AU1098" s="186"/>
      <c r="AV1098" s="186"/>
      <c r="AW1098" s="186"/>
      <c r="AX1098" s="186"/>
      <c r="AY1098" s="186"/>
      <c r="AZ1098" s="186"/>
      <c r="BA1098" s="186"/>
      <c r="BB1098" s="186"/>
      <c r="BC1098" s="186"/>
      <c r="BD1098" s="186"/>
      <c r="BE1098" s="186"/>
      <c r="BF1098" s="150"/>
      <c r="BG1098" s="150"/>
    </row>
    <row r="1099" spans="3:59" ht="14.6">
      <c r="C1099" s="289"/>
      <c r="D1099" s="150"/>
      <c r="E1099" s="150"/>
      <c r="F1099" s="150"/>
      <c r="G1099" s="150"/>
      <c r="H1099" s="150"/>
      <c r="I1099" s="150"/>
      <c r="J1099" s="150"/>
      <c r="K1099" s="150"/>
      <c r="L1099" s="150"/>
      <c r="M1099" s="150"/>
      <c r="N1099" s="150"/>
      <c r="O1099" s="150"/>
      <c r="P1099" s="150"/>
      <c r="Q1099" s="150"/>
      <c r="R1099" s="150"/>
      <c r="S1099" s="150"/>
      <c r="T1099" s="186"/>
      <c r="U1099" s="186"/>
      <c r="V1099" s="186"/>
      <c r="W1099" s="186"/>
      <c r="X1099" s="186"/>
      <c r="Y1099" s="186"/>
      <c r="Z1099" s="186"/>
      <c r="AA1099" s="186"/>
      <c r="AB1099" s="186"/>
      <c r="AC1099" s="186"/>
      <c r="AD1099" s="186"/>
      <c r="AF1099" s="150"/>
      <c r="AG1099" s="150"/>
      <c r="AH1099" s="150"/>
      <c r="AI1099" s="150"/>
      <c r="AJ1099" s="150"/>
      <c r="AK1099" s="150"/>
      <c r="AL1099" s="150"/>
      <c r="AM1099" s="150"/>
      <c r="AN1099" s="150"/>
      <c r="AO1099" s="150"/>
      <c r="AP1099" s="150"/>
      <c r="AQ1099" s="150"/>
      <c r="AT1099" s="186"/>
      <c r="AU1099" s="186"/>
      <c r="AV1099" s="186"/>
      <c r="AW1099" s="186"/>
      <c r="AX1099" s="186"/>
      <c r="AY1099" s="186"/>
      <c r="AZ1099" s="186"/>
      <c r="BA1099" s="186"/>
      <c r="BB1099" s="186"/>
      <c r="BC1099" s="186"/>
      <c r="BD1099" s="186"/>
      <c r="BE1099" s="186"/>
      <c r="BF1099" s="150"/>
      <c r="BG1099" s="150"/>
    </row>
    <row r="1100" spans="3:59" ht="14.6">
      <c r="C1100" s="289"/>
      <c r="D1100" s="150"/>
      <c r="E1100" s="150"/>
      <c r="F1100" s="150"/>
      <c r="G1100" s="150"/>
      <c r="H1100" s="150"/>
      <c r="I1100" s="150"/>
      <c r="J1100" s="150"/>
      <c r="K1100" s="150"/>
      <c r="L1100" s="150"/>
      <c r="M1100" s="150"/>
      <c r="N1100" s="150"/>
      <c r="O1100" s="150"/>
      <c r="P1100" s="150"/>
      <c r="Q1100" s="150"/>
      <c r="R1100" s="150"/>
      <c r="S1100" s="150"/>
      <c r="T1100" s="186"/>
      <c r="U1100" s="186"/>
      <c r="V1100" s="186"/>
      <c r="W1100" s="186"/>
      <c r="X1100" s="186"/>
      <c r="Y1100" s="186"/>
      <c r="Z1100" s="186"/>
      <c r="AA1100" s="186"/>
      <c r="AB1100" s="186"/>
      <c r="AC1100" s="186"/>
      <c r="AD1100" s="186"/>
      <c r="AF1100" s="150"/>
      <c r="AG1100" s="150"/>
      <c r="AH1100" s="150"/>
      <c r="AI1100" s="150"/>
      <c r="AJ1100" s="150"/>
      <c r="AK1100" s="150"/>
      <c r="AL1100" s="150"/>
      <c r="AM1100" s="150"/>
      <c r="AN1100" s="150"/>
      <c r="AO1100" s="150"/>
      <c r="AP1100" s="150"/>
      <c r="AQ1100" s="150"/>
      <c r="AT1100" s="186"/>
      <c r="AU1100" s="186"/>
      <c r="AV1100" s="186"/>
      <c r="AW1100" s="186"/>
      <c r="AX1100" s="186"/>
      <c r="AY1100" s="186"/>
      <c r="AZ1100" s="186"/>
      <c r="BA1100" s="186"/>
      <c r="BB1100" s="186"/>
      <c r="BC1100" s="186"/>
      <c r="BD1100" s="186"/>
      <c r="BE1100" s="186"/>
      <c r="BF1100" s="150"/>
      <c r="BG1100" s="150"/>
    </row>
    <row r="1101" spans="3:59" ht="14.6">
      <c r="C1101" s="289"/>
      <c r="D1101" s="150"/>
      <c r="E1101" s="150"/>
      <c r="F1101" s="150"/>
      <c r="G1101" s="150"/>
      <c r="H1101" s="150"/>
      <c r="I1101" s="150"/>
      <c r="J1101" s="150"/>
      <c r="K1101" s="150"/>
      <c r="L1101" s="150"/>
      <c r="M1101" s="150"/>
      <c r="N1101" s="150"/>
      <c r="O1101" s="150"/>
      <c r="P1101" s="150"/>
      <c r="Q1101" s="150"/>
      <c r="R1101" s="150"/>
      <c r="S1101" s="150"/>
      <c r="T1101" s="186"/>
      <c r="U1101" s="186"/>
      <c r="V1101" s="186"/>
      <c r="W1101" s="186"/>
      <c r="X1101" s="186"/>
      <c r="Y1101" s="186"/>
      <c r="Z1101" s="186"/>
      <c r="AA1101" s="186"/>
      <c r="AB1101" s="186"/>
      <c r="AC1101" s="186"/>
      <c r="AD1101" s="186"/>
      <c r="AF1101" s="150"/>
      <c r="AG1101" s="150"/>
      <c r="AH1101" s="150"/>
      <c r="AI1101" s="150"/>
      <c r="AJ1101" s="150"/>
      <c r="AK1101" s="150"/>
      <c r="AL1101" s="150"/>
      <c r="AM1101" s="150"/>
      <c r="AN1101" s="150"/>
      <c r="AO1101" s="150"/>
      <c r="AP1101" s="150"/>
      <c r="AQ1101" s="150"/>
      <c r="AT1101" s="186"/>
      <c r="AU1101" s="186"/>
      <c r="AV1101" s="186"/>
      <c r="AW1101" s="186"/>
      <c r="AX1101" s="186"/>
      <c r="AY1101" s="186"/>
      <c r="AZ1101" s="186"/>
      <c r="BA1101" s="186"/>
      <c r="BB1101" s="186"/>
      <c r="BC1101" s="186"/>
      <c r="BD1101" s="186"/>
      <c r="BE1101" s="186"/>
      <c r="BF1101" s="150"/>
      <c r="BG1101" s="150"/>
    </row>
    <row r="1102" spans="3:59" ht="14.6">
      <c r="C1102" s="289"/>
      <c r="D1102" s="150"/>
      <c r="E1102" s="150"/>
      <c r="F1102" s="150"/>
      <c r="G1102" s="150"/>
      <c r="H1102" s="150"/>
      <c r="I1102" s="150"/>
      <c r="J1102" s="150"/>
      <c r="K1102" s="150"/>
      <c r="L1102" s="150"/>
      <c r="M1102" s="150"/>
      <c r="N1102" s="150"/>
      <c r="O1102" s="150"/>
      <c r="P1102" s="150"/>
      <c r="Q1102" s="150"/>
      <c r="R1102" s="150"/>
      <c r="S1102" s="150"/>
      <c r="T1102" s="186"/>
      <c r="U1102" s="186"/>
      <c r="V1102" s="186"/>
      <c r="W1102" s="186"/>
      <c r="X1102" s="186"/>
      <c r="Y1102" s="186"/>
      <c r="Z1102" s="186"/>
      <c r="AA1102" s="186"/>
      <c r="AB1102" s="186"/>
      <c r="AC1102" s="186"/>
      <c r="AD1102" s="186"/>
      <c r="AF1102" s="150"/>
      <c r="AG1102" s="150"/>
      <c r="AH1102" s="150"/>
      <c r="AI1102" s="150"/>
      <c r="AJ1102" s="150"/>
      <c r="AK1102" s="150"/>
      <c r="AL1102" s="150"/>
      <c r="AM1102" s="150"/>
      <c r="AN1102" s="150"/>
      <c r="AO1102" s="150"/>
      <c r="AP1102" s="150"/>
      <c r="AQ1102" s="150"/>
      <c r="AT1102" s="186"/>
      <c r="AU1102" s="186"/>
      <c r="AV1102" s="186"/>
      <c r="AW1102" s="186"/>
      <c r="AX1102" s="186"/>
      <c r="AY1102" s="186"/>
      <c r="AZ1102" s="186"/>
      <c r="BA1102" s="186"/>
      <c r="BB1102" s="186"/>
      <c r="BC1102" s="186"/>
      <c r="BD1102" s="186"/>
      <c r="BE1102" s="186"/>
      <c r="BF1102" s="150"/>
      <c r="BG1102" s="150"/>
    </row>
    <row r="1103" spans="3:59" ht="14.6">
      <c r="C1103" s="289"/>
      <c r="D1103" s="150"/>
      <c r="E1103" s="150"/>
      <c r="F1103" s="150"/>
      <c r="G1103" s="150"/>
      <c r="H1103" s="150"/>
      <c r="I1103" s="150"/>
      <c r="J1103" s="150"/>
      <c r="K1103" s="150"/>
      <c r="L1103" s="150"/>
      <c r="M1103" s="150"/>
      <c r="N1103" s="150"/>
      <c r="O1103" s="150"/>
      <c r="P1103" s="150"/>
      <c r="Q1103" s="150"/>
      <c r="R1103" s="150"/>
      <c r="S1103" s="150"/>
      <c r="T1103" s="186"/>
      <c r="U1103" s="186"/>
      <c r="V1103" s="186"/>
      <c r="W1103" s="186"/>
      <c r="X1103" s="186"/>
      <c r="Y1103" s="186"/>
      <c r="Z1103" s="186"/>
      <c r="AA1103" s="186"/>
      <c r="AB1103" s="186"/>
      <c r="AC1103" s="186"/>
      <c r="AD1103" s="186"/>
      <c r="AF1103" s="150"/>
      <c r="AG1103" s="150"/>
      <c r="AH1103" s="150"/>
      <c r="AI1103" s="150"/>
      <c r="AJ1103" s="150"/>
      <c r="AK1103" s="150"/>
      <c r="AL1103" s="150"/>
      <c r="AM1103" s="150"/>
      <c r="AN1103" s="150"/>
      <c r="AO1103" s="150"/>
      <c r="AP1103" s="150"/>
      <c r="AQ1103" s="150"/>
      <c r="AT1103" s="186"/>
      <c r="AU1103" s="186"/>
      <c r="AV1103" s="186"/>
      <c r="AW1103" s="186"/>
      <c r="AX1103" s="186"/>
      <c r="AY1103" s="186"/>
      <c r="AZ1103" s="186"/>
      <c r="BA1103" s="186"/>
      <c r="BB1103" s="186"/>
      <c r="BC1103" s="186"/>
      <c r="BD1103" s="186"/>
      <c r="BE1103" s="186"/>
      <c r="BF1103" s="150"/>
      <c r="BG1103" s="150"/>
    </row>
    <row r="1104" spans="3:59" ht="14.6">
      <c r="C1104" s="289"/>
      <c r="D1104" s="150"/>
      <c r="E1104" s="150"/>
      <c r="F1104" s="150"/>
      <c r="G1104" s="150"/>
      <c r="H1104" s="150"/>
      <c r="I1104" s="150"/>
      <c r="J1104" s="150"/>
      <c r="K1104" s="150"/>
      <c r="L1104" s="150"/>
      <c r="M1104" s="150"/>
      <c r="N1104" s="150"/>
      <c r="O1104" s="150"/>
      <c r="P1104" s="150"/>
      <c r="Q1104" s="150"/>
      <c r="R1104" s="150"/>
      <c r="S1104" s="150"/>
      <c r="T1104" s="186"/>
      <c r="U1104" s="186"/>
      <c r="V1104" s="186"/>
      <c r="W1104" s="186"/>
      <c r="X1104" s="186"/>
      <c r="Y1104" s="186"/>
      <c r="Z1104" s="186"/>
      <c r="AA1104" s="186"/>
      <c r="AB1104" s="186"/>
      <c r="AC1104" s="186"/>
      <c r="AD1104" s="186"/>
      <c r="AF1104" s="150"/>
      <c r="AG1104" s="150"/>
      <c r="AH1104" s="150"/>
      <c r="AI1104" s="150"/>
      <c r="AJ1104" s="150"/>
      <c r="AK1104" s="150"/>
      <c r="AL1104" s="150"/>
      <c r="AM1104" s="150"/>
      <c r="AN1104" s="150"/>
      <c r="AO1104" s="150"/>
      <c r="AP1104" s="150"/>
      <c r="AQ1104" s="150"/>
      <c r="AT1104" s="186"/>
      <c r="AU1104" s="186"/>
      <c r="AV1104" s="186"/>
      <c r="AW1104" s="186"/>
      <c r="AX1104" s="186"/>
      <c r="AY1104" s="186"/>
      <c r="AZ1104" s="186"/>
      <c r="BA1104" s="186"/>
      <c r="BB1104" s="186"/>
      <c r="BC1104" s="186"/>
      <c r="BD1104" s="186"/>
      <c r="BE1104" s="186"/>
      <c r="BF1104" s="150"/>
      <c r="BG1104" s="150"/>
    </row>
    <row r="1105" spans="3:59" ht="14.6">
      <c r="C1105" s="289"/>
      <c r="D1105" s="150"/>
      <c r="E1105" s="150"/>
      <c r="F1105" s="150"/>
      <c r="G1105" s="150"/>
      <c r="H1105" s="150"/>
      <c r="I1105" s="150"/>
      <c r="J1105" s="150"/>
      <c r="K1105" s="150"/>
      <c r="L1105" s="150"/>
      <c r="M1105" s="150"/>
      <c r="N1105" s="150"/>
      <c r="O1105" s="150"/>
      <c r="P1105" s="150"/>
      <c r="Q1105" s="150"/>
      <c r="R1105" s="150"/>
      <c r="S1105" s="150"/>
      <c r="T1105" s="186"/>
      <c r="U1105" s="186"/>
      <c r="V1105" s="186"/>
      <c r="W1105" s="186"/>
      <c r="X1105" s="186"/>
      <c r="Y1105" s="186"/>
      <c r="Z1105" s="186"/>
      <c r="AA1105" s="186"/>
      <c r="AB1105" s="186"/>
      <c r="AC1105" s="186"/>
      <c r="AD1105" s="186"/>
      <c r="AF1105" s="150"/>
      <c r="AG1105" s="150"/>
      <c r="AH1105" s="150"/>
      <c r="AI1105" s="150"/>
      <c r="AJ1105" s="150"/>
      <c r="AK1105" s="150"/>
      <c r="AL1105" s="150"/>
      <c r="AM1105" s="150"/>
      <c r="AN1105" s="150"/>
      <c r="AO1105" s="150"/>
      <c r="AP1105" s="150"/>
      <c r="AQ1105" s="150"/>
      <c r="AT1105" s="186"/>
      <c r="AU1105" s="186"/>
      <c r="AV1105" s="186"/>
      <c r="AW1105" s="186"/>
      <c r="AX1105" s="186"/>
      <c r="AY1105" s="186"/>
      <c r="AZ1105" s="186"/>
      <c r="BA1105" s="186"/>
      <c r="BB1105" s="186"/>
      <c r="BC1105" s="186"/>
      <c r="BD1105" s="186"/>
      <c r="BE1105" s="186"/>
      <c r="BF1105" s="150"/>
      <c r="BG1105" s="150"/>
    </row>
    <row r="1106" spans="3:59" ht="14.6">
      <c r="C1106" s="289"/>
      <c r="D1106" s="150"/>
      <c r="E1106" s="150"/>
      <c r="F1106" s="150"/>
      <c r="G1106" s="150"/>
      <c r="H1106" s="150"/>
      <c r="I1106" s="150"/>
      <c r="J1106" s="150"/>
      <c r="K1106" s="150"/>
      <c r="L1106" s="150"/>
      <c r="M1106" s="150"/>
      <c r="N1106" s="150"/>
      <c r="O1106" s="150"/>
      <c r="P1106" s="150"/>
      <c r="Q1106" s="150"/>
      <c r="R1106" s="150"/>
      <c r="S1106" s="150"/>
      <c r="T1106" s="186"/>
      <c r="U1106" s="186"/>
      <c r="V1106" s="186"/>
      <c r="W1106" s="186"/>
      <c r="X1106" s="186"/>
      <c r="Y1106" s="186"/>
      <c r="Z1106" s="186"/>
      <c r="AA1106" s="186"/>
      <c r="AB1106" s="186"/>
      <c r="AC1106" s="186"/>
      <c r="AD1106" s="186"/>
      <c r="AF1106" s="150"/>
      <c r="AG1106" s="150"/>
      <c r="AH1106" s="150"/>
      <c r="AI1106" s="150"/>
      <c r="AJ1106" s="150"/>
      <c r="AK1106" s="150"/>
      <c r="AL1106" s="150"/>
      <c r="AM1106" s="150"/>
      <c r="AN1106" s="150"/>
      <c r="AO1106" s="150"/>
      <c r="AP1106" s="150"/>
      <c r="AQ1106" s="150"/>
      <c r="AT1106" s="186"/>
      <c r="AU1106" s="186"/>
      <c r="AV1106" s="186"/>
      <c r="AW1106" s="186"/>
      <c r="AX1106" s="186"/>
      <c r="AY1106" s="186"/>
      <c r="AZ1106" s="186"/>
      <c r="BA1106" s="186"/>
      <c r="BB1106" s="186"/>
      <c r="BC1106" s="186"/>
      <c r="BD1106" s="186"/>
      <c r="BE1106" s="186"/>
      <c r="BF1106" s="150"/>
      <c r="BG1106" s="150"/>
    </row>
    <row r="1107" spans="3:59" ht="14.6">
      <c r="C1107" s="289"/>
      <c r="D1107" s="150"/>
      <c r="E1107" s="150"/>
      <c r="F1107" s="150"/>
      <c r="G1107" s="150"/>
      <c r="H1107" s="150"/>
      <c r="I1107" s="150"/>
      <c r="J1107" s="150"/>
      <c r="K1107" s="150"/>
      <c r="L1107" s="150"/>
      <c r="M1107" s="150"/>
      <c r="N1107" s="150"/>
      <c r="O1107" s="150"/>
      <c r="P1107" s="150"/>
      <c r="Q1107" s="150"/>
      <c r="R1107" s="150"/>
      <c r="S1107" s="150"/>
      <c r="T1107" s="186"/>
      <c r="U1107" s="186"/>
      <c r="V1107" s="186"/>
      <c r="W1107" s="186"/>
      <c r="X1107" s="186"/>
      <c r="Y1107" s="186"/>
      <c r="Z1107" s="186"/>
      <c r="AA1107" s="186"/>
      <c r="AB1107" s="186"/>
      <c r="AC1107" s="186"/>
      <c r="AD1107" s="186"/>
      <c r="AF1107" s="150"/>
      <c r="AG1107" s="150"/>
      <c r="AH1107" s="150"/>
      <c r="AI1107" s="150"/>
      <c r="AJ1107" s="150"/>
      <c r="AK1107" s="150"/>
      <c r="AL1107" s="150"/>
      <c r="AM1107" s="150"/>
      <c r="AN1107" s="150"/>
      <c r="AO1107" s="150"/>
      <c r="AP1107" s="150"/>
      <c r="AQ1107" s="150"/>
      <c r="AT1107" s="186"/>
      <c r="AU1107" s="186"/>
      <c r="AV1107" s="186"/>
      <c r="AW1107" s="186"/>
      <c r="AX1107" s="186"/>
      <c r="AY1107" s="186"/>
      <c r="AZ1107" s="186"/>
      <c r="BA1107" s="186"/>
      <c r="BB1107" s="186"/>
      <c r="BC1107" s="186"/>
      <c r="BD1107" s="186"/>
      <c r="BE1107" s="186"/>
      <c r="BF1107" s="150"/>
      <c r="BG1107" s="150"/>
    </row>
    <row r="1108" spans="3:59" ht="14.6">
      <c r="C1108" s="289"/>
      <c r="D1108" s="150"/>
      <c r="E1108" s="150"/>
      <c r="F1108" s="150"/>
      <c r="G1108" s="150"/>
      <c r="H1108" s="150"/>
      <c r="I1108" s="150"/>
      <c r="J1108" s="150"/>
      <c r="K1108" s="150"/>
      <c r="L1108" s="150"/>
      <c r="M1108" s="150"/>
      <c r="N1108" s="150"/>
      <c r="O1108" s="150"/>
      <c r="P1108" s="150"/>
      <c r="Q1108" s="150"/>
      <c r="R1108" s="150"/>
      <c r="S1108" s="150"/>
      <c r="T1108" s="186"/>
      <c r="U1108" s="186"/>
      <c r="V1108" s="186"/>
      <c r="W1108" s="186"/>
      <c r="X1108" s="186"/>
      <c r="Y1108" s="186"/>
      <c r="Z1108" s="186"/>
      <c r="AA1108" s="186"/>
      <c r="AB1108" s="186"/>
      <c r="AC1108" s="186"/>
      <c r="AD1108" s="186"/>
      <c r="AF1108" s="150"/>
      <c r="AG1108" s="150"/>
      <c r="AH1108" s="150"/>
      <c r="AI1108" s="150"/>
      <c r="AJ1108" s="150"/>
      <c r="AK1108" s="150"/>
      <c r="AL1108" s="150"/>
      <c r="AM1108" s="150"/>
      <c r="AN1108" s="150"/>
      <c r="AO1108" s="150"/>
      <c r="AP1108" s="150"/>
      <c r="AQ1108" s="150"/>
      <c r="AT1108" s="186"/>
      <c r="AU1108" s="186"/>
      <c r="AV1108" s="186"/>
      <c r="AW1108" s="186"/>
      <c r="AX1108" s="186"/>
      <c r="AY1108" s="186"/>
      <c r="AZ1108" s="186"/>
      <c r="BA1108" s="186"/>
      <c r="BB1108" s="186"/>
      <c r="BC1108" s="186"/>
      <c r="BD1108" s="186"/>
      <c r="BE1108" s="186"/>
      <c r="BF1108" s="150"/>
      <c r="BG1108" s="150"/>
    </row>
    <row r="1109" spans="3:59" ht="14.6">
      <c r="C1109" s="289"/>
      <c r="D1109" s="150"/>
      <c r="E1109" s="150"/>
      <c r="F1109" s="150"/>
      <c r="G1109" s="150"/>
      <c r="H1109" s="150"/>
      <c r="I1109" s="150"/>
      <c r="J1109" s="150"/>
      <c r="K1109" s="150"/>
      <c r="L1109" s="150"/>
      <c r="M1109" s="150"/>
      <c r="N1109" s="150"/>
      <c r="O1109" s="150"/>
      <c r="P1109" s="150"/>
      <c r="Q1109" s="150"/>
      <c r="R1109" s="150"/>
      <c r="S1109" s="150"/>
      <c r="T1109" s="186"/>
      <c r="U1109" s="186"/>
      <c r="V1109" s="186"/>
      <c r="W1109" s="186"/>
      <c r="X1109" s="186"/>
      <c r="Y1109" s="186"/>
      <c r="Z1109" s="186"/>
      <c r="AA1109" s="186"/>
      <c r="AB1109" s="186"/>
      <c r="AC1109" s="186"/>
      <c r="AD1109" s="186"/>
      <c r="AF1109" s="150"/>
      <c r="AG1109" s="150"/>
      <c r="AH1109" s="150"/>
      <c r="AI1109" s="150"/>
      <c r="AJ1109" s="150"/>
      <c r="AK1109" s="150"/>
      <c r="AL1109" s="150"/>
      <c r="AM1109" s="150"/>
      <c r="AN1109" s="150"/>
      <c r="AO1109" s="150"/>
      <c r="AP1109" s="150"/>
      <c r="AQ1109" s="150"/>
      <c r="AT1109" s="186"/>
      <c r="AU1109" s="186"/>
      <c r="AV1109" s="186"/>
      <c r="AW1109" s="186"/>
      <c r="AX1109" s="186"/>
      <c r="AY1109" s="186"/>
      <c r="AZ1109" s="186"/>
      <c r="BA1109" s="186"/>
      <c r="BB1109" s="186"/>
      <c r="BC1109" s="186"/>
      <c r="BD1109" s="186"/>
      <c r="BE1109" s="186"/>
      <c r="BF1109" s="150"/>
      <c r="BG1109" s="150"/>
    </row>
    <row r="1110" spans="3:59" ht="14.6">
      <c r="C1110" s="289"/>
      <c r="D1110" s="150"/>
      <c r="E1110" s="150"/>
      <c r="F1110" s="150"/>
      <c r="G1110" s="150"/>
      <c r="H1110" s="150"/>
      <c r="I1110" s="150"/>
      <c r="J1110" s="150"/>
      <c r="K1110" s="150"/>
      <c r="L1110" s="150"/>
      <c r="M1110" s="150"/>
      <c r="N1110" s="150"/>
      <c r="O1110" s="150"/>
      <c r="P1110" s="150"/>
      <c r="Q1110" s="150"/>
      <c r="R1110" s="150"/>
      <c r="S1110" s="150"/>
      <c r="T1110" s="186"/>
      <c r="U1110" s="186"/>
      <c r="V1110" s="186"/>
      <c r="W1110" s="186"/>
      <c r="X1110" s="186"/>
      <c r="Y1110" s="186"/>
      <c r="Z1110" s="186"/>
      <c r="AA1110" s="186"/>
      <c r="AB1110" s="186"/>
      <c r="AC1110" s="186"/>
      <c r="AD1110" s="186"/>
      <c r="AF1110" s="150"/>
      <c r="AG1110" s="150"/>
      <c r="AH1110" s="150"/>
      <c r="AI1110" s="150"/>
      <c r="AJ1110" s="150"/>
      <c r="AK1110" s="150"/>
      <c r="AL1110" s="150"/>
      <c r="AM1110" s="150"/>
      <c r="AN1110" s="150"/>
      <c r="AO1110" s="150"/>
      <c r="AP1110" s="150"/>
      <c r="AQ1110" s="150"/>
      <c r="AT1110" s="186"/>
      <c r="AU1110" s="186"/>
      <c r="AV1110" s="186"/>
      <c r="AW1110" s="186"/>
      <c r="AX1110" s="186"/>
      <c r="AY1110" s="186"/>
      <c r="AZ1110" s="186"/>
      <c r="BA1110" s="186"/>
      <c r="BB1110" s="186"/>
      <c r="BC1110" s="186"/>
      <c r="BD1110" s="186"/>
      <c r="BE1110" s="186"/>
      <c r="BF1110" s="150"/>
      <c r="BG1110" s="150"/>
    </row>
    <row r="1111" spans="3:59" ht="14.6">
      <c r="C1111" s="289"/>
      <c r="D1111" s="150"/>
      <c r="E1111" s="150"/>
      <c r="F1111" s="150"/>
      <c r="G1111" s="150"/>
      <c r="H1111" s="150"/>
      <c r="I1111" s="150"/>
      <c r="J1111" s="150"/>
      <c r="K1111" s="150"/>
      <c r="L1111" s="150"/>
      <c r="M1111" s="150"/>
      <c r="N1111" s="150"/>
      <c r="O1111" s="150"/>
      <c r="P1111" s="150"/>
      <c r="Q1111" s="150"/>
      <c r="R1111" s="150"/>
      <c r="S1111" s="150"/>
      <c r="T1111" s="186"/>
      <c r="U1111" s="186"/>
      <c r="V1111" s="186"/>
      <c r="W1111" s="186"/>
      <c r="X1111" s="186"/>
      <c r="Y1111" s="186"/>
      <c r="Z1111" s="186"/>
      <c r="AA1111" s="186"/>
      <c r="AB1111" s="186"/>
      <c r="AC1111" s="186"/>
      <c r="AD1111" s="186"/>
      <c r="AF1111" s="150"/>
      <c r="AG1111" s="150"/>
      <c r="AH1111" s="150"/>
      <c r="AI1111" s="150"/>
      <c r="AJ1111" s="150"/>
      <c r="AK1111" s="150"/>
      <c r="AL1111" s="150"/>
      <c r="AM1111" s="150"/>
      <c r="AN1111" s="150"/>
      <c r="AO1111" s="150"/>
      <c r="AP1111" s="150"/>
      <c r="AQ1111" s="150"/>
      <c r="AT1111" s="186"/>
      <c r="AU1111" s="186"/>
      <c r="AV1111" s="186"/>
      <c r="AW1111" s="186"/>
      <c r="AX1111" s="186"/>
      <c r="AY1111" s="186"/>
      <c r="AZ1111" s="186"/>
      <c r="BA1111" s="186"/>
      <c r="BB1111" s="186"/>
      <c r="BC1111" s="186"/>
      <c r="BD1111" s="186"/>
      <c r="BE1111" s="186"/>
      <c r="BF1111" s="150"/>
      <c r="BG1111" s="150"/>
    </row>
    <row r="1112" spans="3:59" ht="14.6">
      <c r="C1112" s="289"/>
      <c r="D1112" s="150"/>
      <c r="E1112" s="150"/>
      <c r="F1112" s="150"/>
      <c r="G1112" s="150"/>
      <c r="H1112" s="150"/>
      <c r="I1112" s="150"/>
      <c r="J1112" s="150"/>
      <c r="K1112" s="150"/>
      <c r="L1112" s="150"/>
      <c r="M1112" s="150"/>
      <c r="N1112" s="150"/>
      <c r="O1112" s="150"/>
      <c r="P1112" s="150"/>
      <c r="Q1112" s="150"/>
      <c r="R1112" s="150"/>
      <c r="S1112" s="150"/>
      <c r="T1112" s="186"/>
      <c r="U1112" s="186"/>
      <c r="V1112" s="186"/>
      <c r="W1112" s="186"/>
      <c r="X1112" s="186"/>
      <c r="Y1112" s="186"/>
      <c r="Z1112" s="186"/>
      <c r="AA1112" s="186"/>
      <c r="AB1112" s="186"/>
      <c r="AC1112" s="186"/>
      <c r="AD1112" s="186"/>
      <c r="AF1112" s="150"/>
      <c r="AG1112" s="150"/>
      <c r="AH1112" s="150"/>
      <c r="AI1112" s="150"/>
      <c r="AJ1112" s="150"/>
      <c r="AK1112" s="150"/>
      <c r="AL1112" s="150"/>
      <c r="AM1112" s="150"/>
      <c r="AN1112" s="150"/>
      <c r="AO1112" s="150"/>
      <c r="AP1112" s="150"/>
      <c r="AQ1112" s="150"/>
      <c r="AT1112" s="186"/>
      <c r="AU1112" s="186"/>
      <c r="AV1112" s="186"/>
      <c r="AW1112" s="186"/>
      <c r="AX1112" s="186"/>
      <c r="AY1112" s="186"/>
      <c r="AZ1112" s="186"/>
      <c r="BA1112" s="186"/>
      <c r="BB1112" s="186"/>
      <c r="BC1112" s="186"/>
      <c r="BD1112" s="186"/>
      <c r="BE1112" s="186"/>
      <c r="BF1112" s="150"/>
      <c r="BG1112" s="150"/>
    </row>
    <row r="1113" spans="3:59" ht="14.6">
      <c r="C1113" s="289"/>
      <c r="D1113" s="150"/>
      <c r="E1113" s="150"/>
      <c r="F1113" s="150"/>
      <c r="G1113" s="150"/>
      <c r="H1113" s="150"/>
      <c r="I1113" s="150"/>
      <c r="J1113" s="150"/>
      <c r="K1113" s="150"/>
      <c r="L1113" s="150"/>
      <c r="M1113" s="150"/>
      <c r="N1113" s="150"/>
      <c r="O1113" s="150"/>
      <c r="P1113" s="150"/>
      <c r="Q1113" s="150"/>
      <c r="R1113" s="150"/>
      <c r="S1113" s="150"/>
      <c r="T1113" s="186"/>
      <c r="U1113" s="186"/>
      <c r="V1113" s="186"/>
      <c r="W1113" s="186"/>
      <c r="X1113" s="186"/>
      <c r="Y1113" s="186"/>
      <c r="Z1113" s="186"/>
      <c r="AA1113" s="186"/>
      <c r="AB1113" s="186"/>
      <c r="AC1113" s="186"/>
      <c r="AD1113" s="186"/>
      <c r="AF1113" s="150"/>
      <c r="AG1113" s="150"/>
      <c r="AH1113" s="150"/>
      <c r="AI1113" s="150"/>
      <c r="AJ1113" s="150"/>
      <c r="AK1113" s="150"/>
      <c r="AL1113" s="150"/>
      <c r="AM1113" s="150"/>
      <c r="AN1113" s="150"/>
      <c r="AO1113" s="150"/>
      <c r="AP1113" s="150"/>
      <c r="AQ1113" s="150"/>
      <c r="AT1113" s="186"/>
      <c r="AU1113" s="186"/>
      <c r="AV1113" s="186"/>
      <c r="AW1113" s="186"/>
      <c r="AX1113" s="186"/>
      <c r="AY1113" s="186"/>
      <c r="AZ1113" s="186"/>
      <c r="BA1113" s="186"/>
      <c r="BB1113" s="186"/>
      <c r="BC1113" s="186"/>
      <c r="BD1113" s="186"/>
      <c r="BE1113" s="186"/>
      <c r="BF1113" s="150"/>
      <c r="BG1113" s="150"/>
    </row>
    <row r="1114" spans="3:59" ht="14.6">
      <c r="C1114" s="289"/>
      <c r="D1114" s="150"/>
      <c r="E1114" s="150"/>
      <c r="F1114" s="150"/>
      <c r="G1114" s="150"/>
      <c r="H1114" s="150"/>
      <c r="I1114" s="150"/>
      <c r="J1114" s="150"/>
      <c r="K1114" s="150"/>
      <c r="L1114" s="150"/>
      <c r="M1114" s="150"/>
      <c r="N1114" s="150"/>
      <c r="O1114" s="150"/>
      <c r="P1114" s="150"/>
      <c r="Q1114" s="150"/>
      <c r="R1114" s="150"/>
      <c r="S1114" s="150"/>
      <c r="T1114" s="186"/>
      <c r="U1114" s="186"/>
      <c r="V1114" s="186"/>
      <c r="W1114" s="186"/>
      <c r="X1114" s="186"/>
      <c r="Y1114" s="186"/>
      <c r="Z1114" s="186"/>
      <c r="AA1114" s="186"/>
      <c r="AB1114" s="186"/>
      <c r="AC1114" s="186"/>
      <c r="AD1114" s="186"/>
      <c r="AF1114" s="150"/>
      <c r="AG1114" s="150"/>
      <c r="AH1114" s="150"/>
      <c r="AI1114" s="150"/>
      <c r="AJ1114" s="150"/>
      <c r="AK1114" s="150"/>
      <c r="AL1114" s="150"/>
      <c r="AM1114" s="150"/>
      <c r="AN1114" s="150"/>
      <c r="AO1114" s="150"/>
      <c r="AP1114" s="150"/>
      <c r="AQ1114" s="150"/>
      <c r="AT1114" s="186"/>
      <c r="AU1114" s="186"/>
      <c r="AV1114" s="186"/>
      <c r="AW1114" s="186"/>
      <c r="AX1114" s="186"/>
      <c r="AY1114" s="186"/>
      <c r="AZ1114" s="186"/>
      <c r="BA1114" s="186"/>
      <c r="BB1114" s="186"/>
      <c r="BC1114" s="186"/>
      <c r="BD1114" s="186"/>
      <c r="BE1114" s="186"/>
      <c r="BF1114" s="150"/>
      <c r="BG1114" s="150"/>
    </row>
    <row r="1115" spans="3:59" ht="14.6">
      <c r="C1115" s="289"/>
      <c r="D1115" s="150"/>
      <c r="E1115" s="150"/>
      <c r="F1115" s="150"/>
      <c r="G1115" s="150"/>
      <c r="H1115" s="150"/>
      <c r="I1115" s="150"/>
      <c r="J1115" s="150"/>
      <c r="K1115" s="150"/>
      <c r="L1115" s="150"/>
      <c r="M1115" s="150"/>
      <c r="N1115" s="150"/>
      <c r="O1115" s="150"/>
      <c r="P1115" s="150"/>
      <c r="Q1115" s="150"/>
      <c r="R1115" s="150"/>
      <c r="S1115" s="150"/>
      <c r="T1115" s="186"/>
      <c r="U1115" s="186"/>
      <c r="V1115" s="186"/>
      <c r="W1115" s="186"/>
      <c r="X1115" s="186"/>
      <c r="Y1115" s="186"/>
      <c r="Z1115" s="186"/>
      <c r="AA1115" s="186"/>
      <c r="AB1115" s="186"/>
      <c r="AC1115" s="186"/>
      <c r="AD1115" s="186"/>
      <c r="AF1115" s="150"/>
      <c r="AG1115" s="150"/>
      <c r="AH1115" s="150"/>
      <c r="AI1115" s="150"/>
      <c r="AJ1115" s="150"/>
      <c r="AK1115" s="150"/>
      <c r="AL1115" s="150"/>
      <c r="AM1115" s="150"/>
      <c r="AN1115" s="150"/>
      <c r="AO1115" s="150"/>
      <c r="AP1115" s="150"/>
      <c r="AQ1115" s="150"/>
      <c r="AT1115" s="186"/>
      <c r="AU1115" s="186"/>
      <c r="AV1115" s="186"/>
      <c r="AW1115" s="186"/>
      <c r="AX1115" s="186"/>
      <c r="AY1115" s="186"/>
      <c r="AZ1115" s="186"/>
      <c r="BA1115" s="186"/>
      <c r="BB1115" s="186"/>
      <c r="BC1115" s="186"/>
      <c r="BD1115" s="186"/>
      <c r="BE1115" s="186"/>
      <c r="BF1115" s="150"/>
      <c r="BG1115" s="150"/>
    </row>
    <row r="1116" spans="3:59" ht="14.6">
      <c r="C1116" s="289"/>
      <c r="D1116" s="150"/>
      <c r="E1116" s="150"/>
      <c r="F1116" s="150"/>
      <c r="G1116" s="150"/>
      <c r="H1116" s="150"/>
      <c r="I1116" s="150"/>
      <c r="J1116" s="150"/>
      <c r="K1116" s="150"/>
      <c r="L1116" s="150"/>
      <c r="M1116" s="150"/>
      <c r="N1116" s="150"/>
      <c r="O1116" s="150"/>
      <c r="P1116" s="150"/>
      <c r="Q1116" s="150"/>
      <c r="R1116" s="150"/>
      <c r="S1116" s="150"/>
      <c r="T1116" s="186"/>
      <c r="U1116" s="186"/>
      <c r="V1116" s="186"/>
      <c r="W1116" s="186"/>
      <c r="X1116" s="186"/>
      <c r="Y1116" s="186"/>
      <c r="Z1116" s="186"/>
      <c r="AA1116" s="186"/>
      <c r="AB1116" s="186"/>
      <c r="AC1116" s="186"/>
      <c r="AD1116" s="186"/>
      <c r="AF1116" s="150"/>
      <c r="AG1116" s="150"/>
      <c r="AH1116" s="150"/>
      <c r="AI1116" s="150"/>
      <c r="AJ1116" s="150"/>
      <c r="AK1116" s="150"/>
      <c r="AL1116" s="150"/>
      <c r="AM1116" s="150"/>
      <c r="AN1116" s="150"/>
      <c r="AO1116" s="150"/>
      <c r="AP1116" s="150"/>
      <c r="AQ1116" s="150"/>
      <c r="AT1116" s="186"/>
      <c r="AU1116" s="186"/>
      <c r="AV1116" s="186"/>
      <c r="AW1116" s="186"/>
      <c r="AX1116" s="186"/>
      <c r="AY1116" s="186"/>
      <c r="AZ1116" s="186"/>
      <c r="BA1116" s="186"/>
      <c r="BB1116" s="186"/>
      <c r="BC1116" s="186"/>
      <c r="BD1116" s="186"/>
      <c r="BE1116" s="186"/>
      <c r="BF1116" s="150"/>
      <c r="BG1116" s="150"/>
    </row>
    <row r="1117" spans="3:59" ht="14.6">
      <c r="C1117" s="289"/>
      <c r="D1117" s="150"/>
      <c r="E1117" s="150"/>
      <c r="F1117" s="150"/>
      <c r="G1117" s="150"/>
      <c r="H1117" s="150"/>
      <c r="I1117" s="150"/>
      <c r="J1117" s="150"/>
      <c r="K1117" s="150"/>
      <c r="L1117" s="150"/>
      <c r="M1117" s="150"/>
      <c r="N1117" s="150"/>
      <c r="O1117" s="150"/>
      <c r="P1117" s="150"/>
      <c r="Q1117" s="150"/>
      <c r="R1117" s="150"/>
      <c r="S1117" s="150"/>
      <c r="T1117" s="186"/>
      <c r="U1117" s="186"/>
      <c r="V1117" s="186"/>
      <c r="W1117" s="186"/>
      <c r="X1117" s="186"/>
      <c r="Y1117" s="186"/>
      <c r="Z1117" s="186"/>
      <c r="AA1117" s="186"/>
      <c r="AB1117" s="186"/>
      <c r="AC1117" s="186"/>
      <c r="AD1117" s="186"/>
      <c r="AF1117" s="150"/>
      <c r="AG1117" s="150"/>
      <c r="AH1117" s="150"/>
      <c r="AI1117" s="150"/>
      <c r="AJ1117" s="150"/>
      <c r="AK1117" s="150"/>
      <c r="AL1117" s="150"/>
      <c r="AM1117" s="150"/>
      <c r="AN1117" s="150"/>
      <c r="AO1117" s="150"/>
      <c r="AP1117" s="150"/>
      <c r="AQ1117" s="150"/>
      <c r="AT1117" s="186"/>
      <c r="AU1117" s="186"/>
      <c r="AV1117" s="186"/>
      <c r="AW1117" s="186"/>
      <c r="AX1117" s="186"/>
      <c r="AY1117" s="186"/>
      <c r="AZ1117" s="186"/>
      <c r="BA1117" s="186"/>
      <c r="BB1117" s="186"/>
      <c r="BC1117" s="186"/>
      <c r="BD1117" s="186"/>
      <c r="BE1117" s="186"/>
      <c r="BF1117" s="150"/>
      <c r="BG1117" s="150"/>
    </row>
    <row r="1118" spans="3:59" ht="14.6">
      <c r="C1118" s="289"/>
      <c r="D1118" s="150"/>
      <c r="E1118" s="150"/>
      <c r="F1118" s="150"/>
      <c r="G1118" s="150"/>
      <c r="H1118" s="150"/>
      <c r="I1118" s="150"/>
      <c r="J1118" s="150"/>
      <c r="K1118" s="150"/>
      <c r="L1118" s="150"/>
      <c r="M1118" s="150"/>
      <c r="N1118" s="150"/>
      <c r="O1118" s="150"/>
      <c r="P1118" s="150"/>
      <c r="Q1118" s="150"/>
      <c r="R1118" s="150"/>
      <c r="S1118" s="150"/>
      <c r="T1118" s="186"/>
      <c r="U1118" s="186"/>
      <c r="V1118" s="186"/>
      <c r="W1118" s="186"/>
      <c r="X1118" s="186"/>
      <c r="Y1118" s="186"/>
      <c r="Z1118" s="186"/>
      <c r="AA1118" s="186"/>
      <c r="AB1118" s="186"/>
      <c r="AC1118" s="186"/>
      <c r="AD1118" s="186"/>
      <c r="AF1118" s="150"/>
      <c r="AG1118" s="150"/>
      <c r="AH1118" s="150"/>
      <c r="AI1118" s="150"/>
      <c r="AJ1118" s="150"/>
      <c r="AK1118" s="150"/>
      <c r="AL1118" s="150"/>
      <c r="AM1118" s="150"/>
      <c r="AN1118" s="150"/>
      <c r="AO1118" s="150"/>
      <c r="AP1118" s="150"/>
      <c r="AQ1118" s="150"/>
      <c r="AT1118" s="186"/>
      <c r="AU1118" s="186"/>
      <c r="AV1118" s="186"/>
      <c r="AW1118" s="186"/>
      <c r="AX1118" s="186"/>
      <c r="AY1118" s="186"/>
      <c r="AZ1118" s="186"/>
      <c r="BA1118" s="186"/>
      <c r="BB1118" s="186"/>
      <c r="BC1118" s="186"/>
      <c r="BD1118" s="186"/>
      <c r="BE1118" s="186"/>
      <c r="BF1118" s="150"/>
      <c r="BG1118" s="150"/>
    </row>
    <row r="1119" spans="3:59" ht="14.6">
      <c r="C1119" s="289"/>
      <c r="D1119" s="150"/>
      <c r="E1119" s="150"/>
      <c r="F1119" s="150"/>
      <c r="G1119" s="150"/>
      <c r="H1119" s="150"/>
      <c r="I1119" s="150"/>
      <c r="J1119" s="150"/>
      <c r="K1119" s="150"/>
      <c r="L1119" s="150"/>
      <c r="M1119" s="150"/>
      <c r="N1119" s="150"/>
      <c r="O1119" s="150"/>
      <c r="P1119" s="150"/>
      <c r="Q1119" s="150"/>
      <c r="R1119" s="150"/>
      <c r="S1119" s="150"/>
      <c r="T1119" s="186"/>
      <c r="U1119" s="186"/>
      <c r="V1119" s="186"/>
      <c r="W1119" s="186"/>
      <c r="X1119" s="186"/>
      <c r="Y1119" s="186"/>
      <c r="Z1119" s="186"/>
      <c r="AA1119" s="186"/>
      <c r="AB1119" s="186"/>
      <c r="AC1119" s="186"/>
      <c r="AD1119" s="186"/>
      <c r="AF1119" s="150"/>
      <c r="AG1119" s="150"/>
      <c r="AH1119" s="150"/>
      <c r="AI1119" s="150"/>
      <c r="AJ1119" s="150"/>
      <c r="AK1119" s="150"/>
      <c r="AL1119" s="150"/>
      <c r="AM1119" s="150"/>
      <c r="AN1119" s="150"/>
      <c r="AO1119" s="150"/>
      <c r="AP1119" s="150"/>
      <c r="AQ1119" s="150"/>
      <c r="AT1119" s="186"/>
      <c r="AU1119" s="186"/>
      <c r="AV1119" s="186"/>
      <c r="AW1119" s="186"/>
      <c r="AX1119" s="186"/>
      <c r="AY1119" s="186"/>
      <c r="AZ1119" s="186"/>
      <c r="BA1119" s="186"/>
      <c r="BB1119" s="186"/>
      <c r="BC1119" s="186"/>
      <c r="BD1119" s="186"/>
      <c r="BE1119" s="186"/>
      <c r="BF1119" s="150"/>
      <c r="BG1119" s="150"/>
    </row>
    <row r="1120" spans="3:59" ht="14.6">
      <c r="C1120" s="289"/>
      <c r="D1120" s="150"/>
      <c r="E1120" s="150"/>
      <c r="F1120" s="150"/>
      <c r="G1120" s="150"/>
      <c r="H1120" s="150"/>
      <c r="I1120" s="150"/>
      <c r="J1120" s="150"/>
      <c r="K1120" s="150"/>
      <c r="L1120" s="150"/>
      <c r="M1120" s="150"/>
      <c r="N1120" s="150"/>
      <c r="O1120" s="150"/>
      <c r="P1120" s="150"/>
      <c r="Q1120" s="150"/>
      <c r="R1120" s="150"/>
      <c r="S1120" s="150"/>
      <c r="T1120" s="186"/>
      <c r="U1120" s="186"/>
      <c r="V1120" s="186"/>
      <c r="W1120" s="186"/>
      <c r="X1120" s="186"/>
      <c r="Y1120" s="186"/>
      <c r="Z1120" s="186"/>
      <c r="AA1120" s="186"/>
      <c r="AB1120" s="186"/>
      <c r="AC1120" s="186"/>
      <c r="AD1120" s="186"/>
      <c r="AF1120" s="150"/>
      <c r="AG1120" s="150"/>
      <c r="AH1120" s="150"/>
      <c r="AI1120" s="150"/>
      <c r="AJ1120" s="150"/>
      <c r="AK1120" s="150"/>
      <c r="AL1120" s="150"/>
      <c r="AM1120" s="150"/>
      <c r="AN1120" s="150"/>
      <c r="AO1120" s="150"/>
      <c r="AP1120" s="150"/>
      <c r="AQ1120" s="150"/>
      <c r="AT1120" s="186"/>
      <c r="AU1120" s="186"/>
      <c r="AV1120" s="186"/>
      <c r="AW1120" s="186"/>
      <c r="AX1120" s="186"/>
      <c r="AY1120" s="186"/>
      <c r="AZ1120" s="186"/>
      <c r="BA1120" s="186"/>
      <c r="BB1120" s="186"/>
      <c r="BC1120" s="186"/>
      <c r="BD1120" s="186"/>
      <c r="BE1120" s="186"/>
      <c r="BF1120" s="150"/>
      <c r="BG1120" s="150"/>
    </row>
    <row r="1121" spans="3:59" ht="14.6">
      <c r="C1121" s="289"/>
      <c r="D1121" s="150"/>
      <c r="E1121" s="150"/>
      <c r="F1121" s="150"/>
      <c r="G1121" s="150"/>
      <c r="H1121" s="150"/>
      <c r="I1121" s="150"/>
      <c r="J1121" s="150"/>
      <c r="K1121" s="150"/>
      <c r="L1121" s="150"/>
      <c r="M1121" s="150"/>
      <c r="N1121" s="150"/>
      <c r="O1121" s="150"/>
      <c r="P1121" s="150"/>
      <c r="Q1121" s="150"/>
      <c r="R1121" s="150"/>
      <c r="S1121" s="150"/>
      <c r="T1121" s="186"/>
      <c r="U1121" s="186"/>
      <c r="V1121" s="186"/>
      <c r="W1121" s="186"/>
      <c r="X1121" s="186"/>
      <c r="Y1121" s="186"/>
      <c r="Z1121" s="186"/>
      <c r="AA1121" s="186"/>
      <c r="AB1121" s="186"/>
      <c r="AC1121" s="186"/>
      <c r="AD1121" s="186"/>
      <c r="AF1121" s="150"/>
      <c r="AG1121" s="150"/>
      <c r="AH1121" s="150"/>
      <c r="AI1121" s="150"/>
      <c r="AJ1121" s="150"/>
      <c r="AK1121" s="150"/>
      <c r="AL1121" s="150"/>
      <c r="AM1121" s="150"/>
      <c r="AN1121" s="150"/>
      <c r="AO1121" s="150"/>
      <c r="AP1121" s="150"/>
      <c r="AQ1121" s="150"/>
      <c r="AT1121" s="186"/>
      <c r="AU1121" s="186"/>
      <c r="AV1121" s="186"/>
      <c r="AW1121" s="186"/>
      <c r="AX1121" s="186"/>
      <c r="AY1121" s="186"/>
      <c r="AZ1121" s="186"/>
      <c r="BA1121" s="186"/>
      <c r="BB1121" s="186"/>
      <c r="BC1121" s="186"/>
      <c r="BD1121" s="186"/>
      <c r="BE1121" s="186"/>
      <c r="BF1121" s="150"/>
      <c r="BG1121" s="150"/>
    </row>
    <row r="1122" spans="3:59" ht="14.6">
      <c r="C1122" s="289"/>
      <c r="D1122" s="150"/>
      <c r="E1122" s="150"/>
      <c r="F1122" s="150"/>
      <c r="G1122" s="150"/>
      <c r="H1122" s="150"/>
      <c r="I1122" s="150"/>
      <c r="J1122" s="150"/>
      <c r="K1122" s="150"/>
      <c r="L1122" s="150"/>
      <c r="M1122" s="150"/>
      <c r="N1122" s="150"/>
      <c r="O1122" s="150"/>
      <c r="P1122" s="150"/>
      <c r="Q1122" s="150"/>
      <c r="R1122" s="150"/>
      <c r="S1122" s="150"/>
      <c r="T1122" s="186"/>
      <c r="U1122" s="186"/>
      <c r="V1122" s="186"/>
      <c r="W1122" s="186"/>
      <c r="X1122" s="186"/>
      <c r="Y1122" s="186"/>
      <c r="Z1122" s="186"/>
      <c r="AA1122" s="186"/>
      <c r="AB1122" s="186"/>
      <c r="AC1122" s="186"/>
      <c r="AD1122" s="186"/>
      <c r="AF1122" s="150"/>
      <c r="AG1122" s="150"/>
      <c r="AH1122" s="150"/>
      <c r="AI1122" s="150"/>
      <c r="AJ1122" s="150"/>
      <c r="AK1122" s="150"/>
      <c r="AL1122" s="150"/>
      <c r="AM1122" s="150"/>
      <c r="AN1122" s="150"/>
      <c r="AO1122" s="150"/>
      <c r="AP1122" s="150"/>
      <c r="AQ1122" s="150"/>
      <c r="AT1122" s="186"/>
      <c r="AU1122" s="186"/>
      <c r="AV1122" s="186"/>
      <c r="AW1122" s="186"/>
      <c r="AX1122" s="186"/>
      <c r="AY1122" s="186"/>
      <c r="AZ1122" s="186"/>
      <c r="BA1122" s="186"/>
      <c r="BB1122" s="186"/>
      <c r="BC1122" s="186"/>
      <c r="BD1122" s="186"/>
      <c r="BE1122" s="186"/>
      <c r="BF1122" s="150"/>
      <c r="BG1122" s="150"/>
    </row>
    <row r="1123" spans="3:59" ht="14.6">
      <c r="C1123" s="289"/>
      <c r="D1123" s="150"/>
      <c r="E1123" s="150"/>
      <c r="F1123" s="150"/>
      <c r="G1123" s="150"/>
      <c r="H1123" s="150"/>
      <c r="I1123" s="150"/>
      <c r="J1123" s="150"/>
      <c r="K1123" s="150"/>
      <c r="L1123" s="150"/>
      <c r="M1123" s="150"/>
      <c r="N1123" s="150"/>
      <c r="O1123" s="150"/>
      <c r="P1123" s="150"/>
      <c r="Q1123" s="150"/>
      <c r="R1123" s="150"/>
      <c r="S1123" s="150"/>
      <c r="T1123" s="186"/>
      <c r="U1123" s="186"/>
      <c r="V1123" s="186"/>
      <c r="W1123" s="186"/>
      <c r="X1123" s="186"/>
      <c r="Y1123" s="186"/>
      <c r="Z1123" s="186"/>
      <c r="AA1123" s="186"/>
      <c r="AB1123" s="186"/>
      <c r="AC1123" s="186"/>
      <c r="AD1123" s="186"/>
      <c r="AF1123" s="150"/>
      <c r="AG1123" s="150"/>
      <c r="AH1123" s="150"/>
      <c r="AI1123" s="150"/>
      <c r="AJ1123" s="150"/>
      <c r="AK1123" s="150"/>
      <c r="AL1123" s="150"/>
      <c r="AM1123" s="150"/>
      <c r="AN1123" s="150"/>
      <c r="AO1123" s="150"/>
      <c r="AP1123" s="150"/>
      <c r="AQ1123" s="150"/>
      <c r="AT1123" s="186"/>
      <c r="AU1123" s="186"/>
      <c r="AV1123" s="186"/>
      <c r="AW1123" s="186"/>
      <c r="AX1123" s="186"/>
      <c r="AY1123" s="186"/>
      <c r="AZ1123" s="186"/>
      <c r="BA1123" s="186"/>
      <c r="BB1123" s="186"/>
      <c r="BC1123" s="186"/>
      <c r="BD1123" s="186"/>
      <c r="BE1123" s="186"/>
      <c r="BF1123" s="150"/>
      <c r="BG1123" s="150"/>
    </row>
    <row r="1124" spans="3:59" ht="14.6">
      <c r="C1124" s="289"/>
      <c r="D1124" s="150"/>
      <c r="E1124" s="150"/>
      <c r="F1124" s="150"/>
      <c r="G1124" s="150"/>
      <c r="H1124" s="150"/>
      <c r="I1124" s="150"/>
      <c r="J1124" s="150"/>
      <c r="K1124" s="150"/>
      <c r="L1124" s="150"/>
      <c r="M1124" s="150"/>
      <c r="N1124" s="150"/>
      <c r="O1124" s="150"/>
      <c r="P1124" s="150"/>
      <c r="Q1124" s="150"/>
      <c r="R1124" s="150"/>
      <c r="S1124" s="150"/>
      <c r="T1124" s="186"/>
      <c r="U1124" s="186"/>
      <c r="V1124" s="186"/>
      <c r="W1124" s="186"/>
      <c r="X1124" s="186"/>
      <c r="Y1124" s="186"/>
      <c r="Z1124" s="186"/>
      <c r="AA1124" s="186"/>
      <c r="AB1124" s="186"/>
      <c r="AC1124" s="186"/>
      <c r="AD1124" s="186"/>
      <c r="AF1124" s="150"/>
      <c r="AG1124" s="150"/>
      <c r="AH1124" s="150"/>
      <c r="AI1124" s="150"/>
      <c r="AJ1124" s="150"/>
      <c r="AK1124" s="150"/>
      <c r="AL1124" s="150"/>
      <c r="AM1124" s="150"/>
      <c r="AN1124" s="150"/>
      <c r="AO1124" s="150"/>
      <c r="AP1124" s="150"/>
      <c r="AQ1124" s="150"/>
      <c r="AT1124" s="186"/>
      <c r="AU1124" s="186"/>
      <c r="AV1124" s="186"/>
      <c r="AW1124" s="186"/>
      <c r="AX1124" s="186"/>
      <c r="AY1124" s="186"/>
      <c r="AZ1124" s="186"/>
      <c r="BA1124" s="186"/>
      <c r="BB1124" s="186"/>
      <c r="BC1124" s="186"/>
      <c r="BD1124" s="186"/>
      <c r="BE1124" s="186"/>
      <c r="BF1124" s="150"/>
      <c r="BG1124" s="150"/>
    </row>
    <row r="1125" spans="3:59" ht="14.6">
      <c r="C1125" s="289"/>
      <c r="D1125" s="150"/>
      <c r="E1125" s="150"/>
      <c r="F1125" s="150"/>
      <c r="G1125" s="150"/>
      <c r="H1125" s="150"/>
      <c r="I1125" s="150"/>
      <c r="J1125" s="150"/>
      <c r="K1125" s="150"/>
      <c r="L1125" s="150"/>
      <c r="M1125" s="150"/>
      <c r="N1125" s="150"/>
      <c r="O1125" s="150"/>
      <c r="P1125" s="150"/>
      <c r="Q1125" s="150"/>
      <c r="R1125" s="150"/>
      <c r="S1125" s="150"/>
      <c r="T1125" s="186"/>
      <c r="U1125" s="186"/>
      <c r="V1125" s="186"/>
      <c r="W1125" s="186"/>
      <c r="X1125" s="186"/>
      <c r="Y1125" s="186"/>
      <c r="Z1125" s="186"/>
      <c r="AA1125" s="186"/>
      <c r="AB1125" s="186"/>
      <c r="AC1125" s="186"/>
      <c r="AD1125" s="186"/>
      <c r="AF1125" s="150"/>
      <c r="AG1125" s="150"/>
      <c r="AH1125" s="150"/>
      <c r="AI1125" s="150"/>
      <c r="AJ1125" s="150"/>
      <c r="AK1125" s="150"/>
      <c r="AL1125" s="150"/>
      <c r="AM1125" s="150"/>
      <c r="AN1125" s="150"/>
      <c r="AO1125" s="150"/>
      <c r="AP1125" s="150"/>
      <c r="AQ1125" s="150"/>
      <c r="AT1125" s="186"/>
      <c r="AU1125" s="186"/>
      <c r="AV1125" s="186"/>
      <c r="AW1125" s="186"/>
      <c r="AX1125" s="186"/>
      <c r="AY1125" s="186"/>
      <c r="AZ1125" s="186"/>
      <c r="BA1125" s="186"/>
      <c r="BB1125" s="186"/>
      <c r="BC1125" s="186"/>
      <c r="BD1125" s="186"/>
      <c r="BE1125" s="186"/>
      <c r="BF1125" s="150"/>
      <c r="BG1125" s="150"/>
    </row>
    <row r="1126" spans="3:59" ht="14.6">
      <c r="C1126" s="289"/>
      <c r="D1126" s="150"/>
      <c r="E1126" s="150"/>
      <c r="F1126" s="150"/>
      <c r="G1126" s="150"/>
      <c r="H1126" s="150"/>
      <c r="I1126" s="150"/>
      <c r="J1126" s="150"/>
      <c r="K1126" s="150"/>
      <c r="L1126" s="150"/>
      <c r="M1126" s="150"/>
      <c r="N1126" s="150"/>
      <c r="O1126" s="150"/>
      <c r="P1126" s="150"/>
      <c r="Q1126" s="150"/>
      <c r="R1126" s="150"/>
      <c r="S1126" s="150"/>
      <c r="T1126" s="186"/>
      <c r="U1126" s="186"/>
      <c r="V1126" s="186"/>
      <c r="W1126" s="186"/>
      <c r="X1126" s="186"/>
      <c r="Y1126" s="186"/>
      <c r="Z1126" s="186"/>
      <c r="AA1126" s="186"/>
      <c r="AB1126" s="186"/>
      <c r="AC1126" s="186"/>
      <c r="AD1126" s="186"/>
      <c r="AF1126" s="150"/>
      <c r="AG1126" s="150"/>
      <c r="AH1126" s="150"/>
      <c r="AI1126" s="150"/>
      <c r="AJ1126" s="150"/>
      <c r="AK1126" s="150"/>
      <c r="AL1126" s="150"/>
      <c r="AM1126" s="150"/>
      <c r="AN1126" s="150"/>
      <c r="AO1126" s="150"/>
      <c r="AP1126" s="150"/>
      <c r="AQ1126" s="150"/>
      <c r="AT1126" s="186"/>
      <c r="AU1126" s="186"/>
      <c r="AV1126" s="186"/>
      <c r="AW1126" s="186"/>
      <c r="AX1126" s="186"/>
      <c r="AY1126" s="186"/>
      <c r="AZ1126" s="186"/>
      <c r="BA1126" s="186"/>
      <c r="BB1126" s="186"/>
      <c r="BC1126" s="186"/>
      <c r="BD1126" s="186"/>
      <c r="BE1126" s="186"/>
      <c r="BF1126" s="150"/>
      <c r="BG1126" s="150"/>
    </row>
    <row r="1127" spans="3:59" ht="14.6">
      <c r="C1127" s="289"/>
      <c r="D1127" s="150"/>
      <c r="E1127" s="150"/>
      <c r="F1127" s="150"/>
      <c r="G1127" s="150"/>
      <c r="H1127" s="150"/>
      <c r="I1127" s="150"/>
      <c r="J1127" s="150"/>
      <c r="K1127" s="150"/>
      <c r="L1127" s="150"/>
      <c r="M1127" s="150"/>
      <c r="N1127" s="150"/>
      <c r="O1127" s="150"/>
      <c r="P1127" s="150"/>
      <c r="Q1127" s="150"/>
      <c r="R1127" s="150"/>
      <c r="S1127" s="150"/>
      <c r="T1127" s="186"/>
      <c r="U1127" s="186"/>
      <c r="V1127" s="186"/>
      <c r="W1127" s="186"/>
      <c r="X1127" s="186"/>
      <c r="Y1127" s="186"/>
      <c r="Z1127" s="186"/>
      <c r="AA1127" s="186"/>
      <c r="AB1127" s="186"/>
      <c r="AC1127" s="186"/>
      <c r="AD1127" s="186"/>
      <c r="AF1127" s="150"/>
      <c r="AG1127" s="150"/>
      <c r="AH1127" s="150"/>
      <c r="AI1127" s="150"/>
      <c r="AJ1127" s="150"/>
      <c r="AK1127" s="150"/>
      <c r="AL1127" s="150"/>
      <c r="AM1127" s="150"/>
      <c r="AN1127" s="150"/>
      <c r="AO1127" s="150"/>
      <c r="AP1127" s="150"/>
      <c r="AQ1127" s="150"/>
      <c r="AT1127" s="186"/>
      <c r="AU1127" s="186"/>
      <c r="AV1127" s="186"/>
      <c r="AW1127" s="186"/>
      <c r="AX1127" s="186"/>
      <c r="AY1127" s="186"/>
      <c r="AZ1127" s="186"/>
      <c r="BA1127" s="186"/>
      <c r="BB1127" s="186"/>
      <c r="BC1127" s="186"/>
      <c r="BD1127" s="186"/>
      <c r="BE1127" s="186"/>
      <c r="BF1127" s="150"/>
      <c r="BG1127" s="150"/>
    </row>
    <row r="1128" spans="3:59" ht="14.6">
      <c r="C1128" s="289"/>
      <c r="D1128" s="150"/>
      <c r="E1128" s="150"/>
      <c r="F1128" s="150"/>
      <c r="G1128" s="150"/>
      <c r="H1128" s="150"/>
      <c r="I1128" s="150"/>
      <c r="J1128" s="150"/>
      <c r="K1128" s="150"/>
      <c r="L1128" s="150"/>
      <c r="M1128" s="150"/>
      <c r="N1128" s="150"/>
      <c r="O1128" s="150"/>
      <c r="P1128" s="150"/>
      <c r="Q1128" s="150"/>
      <c r="R1128" s="150"/>
      <c r="S1128" s="150"/>
      <c r="T1128" s="186"/>
      <c r="U1128" s="186"/>
      <c r="V1128" s="186"/>
      <c r="W1128" s="186"/>
      <c r="X1128" s="186"/>
      <c r="Y1128" s="186"/>
      <c r="Z1128" s="186"/>
      <c r="AA1128" s="186"/>
      <c r="AB1128" s="186"/>
      <c r="AC1128" s="186"/>
      <c r="AD1128" s="186"/>
      <c r="AF1128" s="150"/>
      <c r="AG1128" s="150"/>
      <c r="AH1128" s="150"/>
      <c r="AI1128" s="150"/>
      <c r="AJ1128" s="150"/>
      <c r="AK1128" s="150"/>
      <c r="AL1128" s="150"/>
      <c r="AM1128" s="150"/>
      <c r="AN1128" s="150"/>
      <c r="AO1128" s="150"/>
      <c r="AP1128" s="150"/>
      <c r="AQ1128" s="150"/>
      <c r="AT1128" s="186"/>
      <c r="AU1128" s="186"/>
      <c r="AV1128" s="186"/>
      <c r="AW1128" s="186"/>
      <c r="AX1128" s="186"/>
      <c r="AY1128" s="186"/>
      <c r="AZ1128" s="186"/>
      <c r="BA1128" s="186"/>
      <c r="BB1128" s="186"/>
      <c r="BC1128" s="186"/>
      <c r="BD1128" s="186"/>
      <c r="BE1128" s="186"/>
      <c r="BF1128" s="150"/>
      <c r="BG1128" s="150"/>
    </row>
    <row r="1129" spans="3:59" ht="14.6">
      <c r="C1129" s="289"/>
      <c r="D1129" s="150"/>
      <c r="E1129" s="150"/>
      <c r="F1129" s="150"/>
      <c r="G1129" s="150"/>
      <c r="H1129" s="150"/>
      <c r="I1129" s="150"/>
      <c r="J1129" s="150"/>
      <c r="K1129" s="150"/>
      <c r="L1129" s="150"/>
      <c r="M1129" s="150"/>
      <c r="N1129" s="150"/>
      <c r="O1129" s="150"/>
      <c r="P1129" s="150"/>
      <c r="Q1129" s="150"/>
      <c r="R1129" s="150"/>
      <c r="S1129" s="150"/>
      <c r="T1129" s="186"/>
      <c r="U1129" s="186"/>
      <c r="V1129" s="186"/>
      <c r="W1129" s="186"/>
      <c r="X1129" s="186"/>
      <c r="Y1129" s="186"/>
      <c r="Z1129" s="186"/>
      <c r="AA1129" s="186"/>
      <c r="AB1129" s="186"/>
      <c r="AC1129" s="186"/>
      <c r="AD1129" s="186"/>
      <c r="AF1129" s="150"/>
      <c r="AG1129" s="150"/>
      <c r="AH1129" s="150"/>
      <c r="AI1129" s="150"/>
      <c r="AJ1129" s="150"/>
      <c r="AK1129" s="150"/>
      <c r="AL1129" s="150"/>
      <c r="AM1129" s="150"/>
      <c r="AN1129" s="150"/>
      <c r="AO1129" s="150"/>
      <c r="AP1129" s="150"/>
      <c r="AQ1129" s="150"/>
      <c r="AT1129" s="186"/>
      <c r="AU1129" s="186"/>
      <c r="AV1129" s="186"/>
      <c r="AW1129" s="186"/>
      <c r="AX1129" s="186"/>
      <c r="AY1129" s="186"/>
      <c r="AZ1129" s="186"/>
      <c r="BA1129" s="186"/>
      <c r="BB1129" s="186"/>
      <c r="BC1129" s="186"/>
      <c r="BD1129" s="186"/>
      <c r="BE1129" s="186"/>
      <c r="BF1129" s="150"/>
      <c r="BG1129" s="150"/>
    </row>
    <row r="1130" spans="3:59" ht="14.6">
      <c r="C1130" s="289"/>
      <c r="D1130" s="150"/>
      <c r="E1130" s="150"/>
      <c r="F1130" s="150"/>
      <c r="G1130" s="150"/>
      <c r="H1130" s="150"/>
      <c r="I1130" s="150"/>
      <c r="J1130" s="150"/>
      <c r="K1130" s="150"/>
      <c r="L1130" s="150"/>
      <c r="M1130" s="150"/>
      <c r="N1130" s="150"/>
      <c r="O1130" s="150"/>
      <c r="P1130" s="150"/>
      <c r="Q1130" s="150"/>
      <c r="R1130" s="150"/>
      <c r="S1130" s="150"/>
      <c r="T1130" s="186"/>
      <c r="U1130" s="186"/>
      <c r="V1130" s="186"/>
      <c r="W1130" s="186"/>
      <c r="X1130" s="186"/>
      <c r="Y1130" s="186"/>
      <c r="Z1130" s="186"/>
      <c r="AA1130" s="186"/>
      <c r="AB1130" s="186"/>
      <c r="AC1130" s="186"/>
      <c r="AD1130" s="186"/>
      <c r="AF1130" s="150"/>
      <c r="AG1130" s="150"/>
      <c r="AH1130" s="150"/>
      <c r="AI1130" s="150"/>
      <c r="AJ1130" s="150"/>
      <c r="AK1130" s="150"/>
      <c r="AL1130" s="150"/>
      <c r="AM1130" s="150"/>
      <c r="AN1130" s="150"/>
      <c r="AO1130" s="150"/>
      <c r="AP1130" s="150"/>
      <c r="AQ1130" s="150"/>
      <c r="AT1130" s="186"/>
      <c r="AU1130" s="186"/>
      <c r="AV1130" s="186"/>
      <c r="AW1130" s="186"/>
      <c r="AX1130" s="186"/>
      <c r="AY1130" s="186"/>
      <c r="AZ1130" s="186"/>
      <c r="BA1130" s="186"/>
      <c r="BB1130" s="186"/>
      <c r="BC1130" s="186"/>
      <c r="BD1130" s="186"/>
      <c r="BE1130" s="186"/>
      <c r="BF1130" s="150"/>
      <c r="BG1130" s="150"/>
    </row>
    <row r="1131" spans="3:59" ht="14.6">
      <c r="C1131" s="289"/>
      <c r="D1131" s="150"/>
      <c r="E1131" s="150"/>
      <c r="F1131" s="150"/>
      <c r="G1131" s="150"/>
      <c r="H1131" s="150"/>
      <c r="I1131" s="150"/>
      <c r="J1131" s="150"/>
      <c r="K1131" s="150"/>
      <c r="L1131" s="150"/>
      <c r="M1131" s="150"/>
      <c r="N1131" s="150"/>
      <c r="O1131" s="150"/>
      <c r="P1131" s="150"/>
      <c r="Q1131" s="150"/>
      <c r="R1131" s="150"/>
      <c r="S1131" s="150"/>
      <c r="T1131" s="186"/>
      <c r="U1131" s="186"/>
      <c r="V1131" s="186"/>
      <c r="W1131" s="186"/>
      <c r="X1131" s="186"/>
      <c r="Y1131" s="186"/>
      <c r="Z1131" s="186"/>
      <c r="AA1131" s="186"/>
      <c r="AB1131" s="186"/>
      <c r="AC1131" s="186"/>
      <c r="AD1131" s="186"/>
      <c r="AF1131" s="150"/>
      <c r="AG1131" s="150"/>
      <c r="AH1131" s="150"/>
      <c r="AI1131" s="150"/>
      <c r="AJ1131" s="150"/>
      <c r="AK1131" s="150"/>
      <c r="AL1131" s="150"/>
      <c r="AM1131" s="150"/>
      <c r="AN1131" s="150"/>
      <c r="AO1131" s="150"/>
      <c r="AP1131" s="150"/>
      <c r="AQ1131" s="150"/>
      <c r="AT1131" s="186"/>
      <c r="AU1131" s="186"/>
      <c r="AV1131" s="186"/>
      <c r="AW1131" s="186"/>
      <c r="AX1131" s="186"/>
      <c r="AY1131" s="186"/>
      <c r="AZ1131" s="186"/>
      <c r="BA1131" s="186"/>
      <c r="BB1131" s="186"/>
      <c r="BC1131" s="186"/>
      <c r="BD1131" s="186"/>
      <c r="BE1131" s="186"/>
      <c r="BF1131" s="150"/>
      <c r="BG1131" s="150"/>
    </row>
    <row r="1132" spans="3:59" ht="14.6">
      <c r="C1132" s="289"/>
      <c r="D1132" s="150"/>
      <c r="E1132" s="150"/>
      <c r="F1132" s="150"/>
      <c r="G1132" s="150"/>
      <c r="H1132" s="150"/>
      <c r="I1132" s="150"/>
      <c r="J1132" s="150"/>
      <c r="K1132" s="150"/>
      <c r="L1132" s="150"/>
      <c r="M1132" s="150"/>
      <c r="N1132" s="150"/>
      <c r="O1132" s="150"/>
      <c r="P1132" s="150"/>
      <c r="Q1132" s="150"/>
      <c r="R1132" s="150"/>
      <c r="S1132" s="150"/>
      <c r="T1132" s="186"/>
      <c r="U1132" s="186"/>
      <c r="V1132" s="186"/>
      <c r="W1132" s="186"/>
      <c r="X1132" s="186"/>
      <c r="Y1132" s="186"/>
      <c r="Z1132" s="186"/>
      <c r="AA1132" s="186"/>
      <c r="AB1132" s="186"/>
      <c r="AC1132" s="186"/>
      <c r="AD1132" s="186"/>
      <c r="AF1132" s="150"/>
      <c r="AG1132" s="150"/>
      <c r="AH1132" s="150"/>
      <c r="AI1132" s="150"/>
      <c r="AJ1132" s="150"/>
      <c r="AK1132" s="150"/>
      <c r="AL1132" s="150"/>
      <c r="AM1132" s="150"/>
      <c r="AN1132" s="150"/>
      <c r="AO1132" s="150"/>
      <c r="AP1132" s="150"/>
      <c r="AQ1132" s="150"/>
      <c r="AT1132" s="186"/>
      <c r="AU1132" s="186"/>
      <c r="AV1132" s="186"/>
      <c r="AW1132" s="186"/>
      <c r="AX1132" s="186"/>
      <c r="AY1132" s="186"/>
      <c r="AZ1132" s="186"/>
      <c r="BA1132" s="186"/>
      <c r="BB1132" s="186"/>
      <c r="BC1132" s="186"/>
      <c r="BD1132" s="186"/>
      <c r="BE1132" s="186"/>
      <c r="BF1132" s="150"/>
      <c r="BG1132" s="150"/>
    </row>
    <row r="1133" spans="3:59" ht="14.6">
      <c r="C1133" s="289"/>
      <c r="D1133" s="150"/>
      <c r="E1133" s="150"/>
      <c r="F1133" s="150"/>
      <c r="G1133" s="150"/>
      <c r="H1133" s="150"/>
      <c r="I1133" s="150"/>
      <c r="J1133" s="150"/>
      <c r="K1133" s="150"/>
      <c r="L1133" s="150"/>
      <c r="M1133" s="150"/>
      <c r="N1133" s="150"/>
      <c r="O1133" s="150"/>
      <c r="P1133" s="150"/>
      <c r="Q1133" s="150"/>
      <c r="R1133" s="150"/>
      <c r="S1133" s="150"/>
      <c r="T1133" s="186"/>
      <c r="U1133" s="186"/>
      <c r="V1133" s="186"/>
      <c r="W1133" s="186"/>
      <c r="X1133" s="186"/>
      <c r="Y1133" s="186"/>
      <c r="Z1133" s="186"/>
      <c r="AA1133" s="186"/>
      <c r="AB1133" s="186"/>
      <c r="AC1133" s="186"/>
      <c r="AD1133" s="186"/>
      <c r="AF1133" s="150"/>
      <c r="AG1133" s="150"/>
      <c r="AH1133" s="150"/>
      <c r="AI1133" s="150"/>
      <c r="AJ1133" s="150"/>
      <c r="AK1133" s="150"/>
      <c r="AL1133" s="150"/>
      <c r="AM1133" s="150"/>
      <c r="AN1133" s="150"/>
      <c r="AO1133" s="150"/>
      <c r="AP1133" s="150"/>
      <c r="AQ1133" s="150"/>
      <c r="AT1133" s="186"/>
      <c r="AU1133" s="186"/>
      <c r="AV1133" s="186"/>
      <c r="AW1133" s="186"/>
      <c r="AX1133" s="186"/>
      <c r="AY1133" s="186"/>
      <c r="AZ1133" s="186"/>
      <c r="BA1133" s="186"/>
      <c r="BB1133" s="186"/>
      <c r="BC1133" s="186"/>
      <c r="BD1133" s="186"/>
      <c r="BE1133" s="186"/>
      <c r="BF1133" s="150"/>
      <c r="BG1133" s="150"/>
    </row>
    <row r="1134" spans="3:59" ht="14.6">
      <c r="C1134" s="289"/>
      <c r="D1134" s="150"/>
      <c r="E1134" s="150"/>
      <c r="F1134" s="150"/>
      <c r="G1134" s="150"/>
      <c r="H1134" s="150"/>
      <c r="I1134" s="150"/>
      <c r="J1134" s="150"/>
      <c r="K1134" s="150"/>
      <c r="L1134" s="150"/>
      <c r="M1134" s="150"/>
      <c r="N1134" s="150"/>
      <c r="O1134" s="150"/>
      <c r="P1134" s="150"/>
      <c r="Q1134" s="150"/>
      <c r="R1134" s="150"/>
      <c r="S1134" s="150"/>
      <c r="T1134" s="186"/>
      <c r="U1134" s="186"/>
      <c r="V1134" s="186"/>
      <c r="W1134" s="186"/>
      <c r="X1134" s="186"/>
      <c r="Y1134" s="186"/>
      <c r="Z1134" s="186"/>
      <c r="AA1134" s="186"/>
      <c r="AB1134" s="186"/>
      <c r="AC1134" s="186"/>
      <c r="AD1134" s="186"/>
      <c r="AF1134" s="150"/>
      <c r="AG1134" s="150"/>
      <c r="AH1134" s="150"/>
      <c r="AI1134" s="150"/>
      <c r="AJ1134" s="150"/>
      <c r="AK1134" s="150"/>
      <c r="AL1134" s="150"/>
      <c r="AM1134" s="150"/>
      <c r="AN1134" s="150"/>
      <c r="AO1134" s="150"/>
      <c r="AP1134" s="150"/>
      <c r="AQ1134" s="150"/>
      <c r="AT1134" s="186"/>
      <c r="AU1134" s="186"/>
      <c r="AV1134" s="186"/>
      <c r="AW1134" s="186"/>
      <c r="AX1134" s="186"/>
      <c r="AY1134" s="186"/>
      <c r="AZ1134" s="186"/>
      <c r="BA1134" s="186"/>
      <c r="BB1134" s="186"/>
      <c r="BC1134" s="186"/>
      <c r="BD1134" s="186"/>
      <c r="BE1134" s="186"/>
      <c r="BF1134" s="150"/>
      <c r="BG1134" s="150"/>
    </row>
    <row r="1135" spans="3:59" ht="14.6">
      <c r="C1135" s="289"/>
      <c r="D1135" s="150"/>
      <c r="E1135" s="150"/>
      <c r="F1135" s="150"/>
      <c r="G1135" s="150"/>
      <c r="H1135" s="150"/>
      <c r="I1135" s="150"/>
      <c r="J1135" s="150"/>
      <c r="K1135" s="150"/>
      <c r="L1135" s="150"/>
      <c r="M1135" s="150"/>
      <c r="N1135" s="150"/>
      <c r="O1135" s="150"/>
      <c r="P1135" s="150"/>
      <c r="Q1135" s="150"/>
      <c r="R1135" s="150"/>
      <c r="S1135" s="150"/>
      <c r="T1135" s="186"/>
      <c r="U1135" s="186"/>
      <c r="V1135" s="186"/>
      <c r="W1135" s="186"/>
      <c r="X1135" s="186"/>
      <c r="Y1135" s="186"/>
      <c r="Z1135" s="186"/>
      <c r="AA1135" s="186"/>
      <c r="AB1135" s="186"/>
      <c r="AC1135" s="186"/>
      <c r="AD1135" s="186"/>
      <c r="AF1135" s="150"/>
      <c r="AG1135" s="150"/>
      <c r="AH1135" s="150"/>
      <c r="AI1135" s="150"/>
      <c r="AJ1135" s="150"/>
      <c r="AK1135" s="150"/>
      <c r="AL1135" s="150"/>
      <c r="AM1135" s="150"/>
      <c r="AN1135" s="150"/>
      <c r="AO1135" s="150"/>
      <c r="AP1135" s="150"/>
      <c r="AQ1135" s="150"/>
      <c r="AT1135" s="186"/>
      <c r="AU1135" s="186"/>
      <c r="AV1135" s="186"/>
      <c r="AW1135" s="186"/>
      <c r="AX1135" s="186"/>
      <c r="AY1135" s="186"/>
      <c r="AZ1135" s="186"/>
      <c r="BA1135" s="186"/>
      <c r="BB1135" s="186"/>
      <c r="BC1135" s="186"/>
      <c r="BD1135" s="186"/>
      <c r="BE1135" s="186"/>
      <c r="BF1135" s="150"/>
      <c r="BG1135" s="150"/>
    </row>
    <row r="1136" spans="3:59" ht="14.6">
      <c r="C1136" s="289"/>
      <c r="D1136" s="150"/>
      <c r="E1136" s="150"/>
      <c r="F1136" s="150"/>
      <c r="G1136" s="150"/>
      <c r="H1136" s="150"/>
      <c r="I1136" s="150"/>
      <c r="J1136" s="150"/>
      <c r="K1136" s="150"/>
      <c r="L1136" s="150"/>
      <c r="M1136" s="150"/>
      <c r="N1136" s="150"/>
      <c r="O1136" s="150"/>
      <c r="P1136" s="150"/>
      <c r="Q1136" s="150"/>
      <c r="R1136" s="150"/>
      <c r="S1136" s="150"/>
      <c r="T1136" s="186"/>
      <c r="U1136" s="186"/>
      <c r="V1136" s="186"/>
      <c r="W1136" s="186"/>
      <c r="X1136" s="186"/>
      <c r="Y1136" s="186"/>
      <c r="Z1136" s="186"/>
      <c r="AA1136" s="186"/>
      <c r="AB1136" s="186"/>
      <c r="AC1136" s="186"/>
      <c r="AD1136" s="186"/>
      <c r="AF1136" s="150"/>
      <c r="AG1136" s="150"/>
      <c r="AH1136" s="150"/>
      <c r="AI1136" s="150"/>
      <c r="AJ1136" s="150"/>
      <c r="AK1136" s="150"/>
      <c r="AL1136" s="150"/>
      <c r="AM1136" s="150"/>
      <c r="AN1136" s="150"/>
      <c r="AO1136" s="150"/>
      <c r="AP1136" s="150"/>
      <c r="AQ1136" s="150"/>
      <c r="AT1136" s="186"/>
      <c r="AU1136" s="186"/>
      <c r="AV1136" s="186"/>
      <c r="AW1136" s="186"/>
      <c r="AX1136" s="186"/>
      <c r="AY1136" s="186"/>
      <c r="AZ1136" s="186"/>
      <c r="BA1136" s="186"/>
      <c r="BB1136" s="186"/>
      <c r="BC1136" s="186"/>
      <c r="BD1136" s="186"/>
      <c r="BE1136" s="186"/>
      <c r="BF1136" s="150"/>
      <c r="BG1136" s="150"/>
    </row>
    <row r="1137" spans="3:59" ht="14.6">
      <c r="C1137" s="289"/>
      <c r="D1137" s="150"/>
      <c r="E1137" s="150"/>
      <c r="F1137" s="150"/>
      <c r="G1137" s="150"/>
      <c r="H1137" s="150"/>
      <c r="I1137" s="150"/>
      <c r="J1137" s="150"/>
      <c r="K1137" s="150"/>
      <c r="L1137" s="150"/>
      <c r="M1137" s="150"/>
      <c r="N1137" s="150"/>
      <c r="O1137" s="150"/>
      <c r="P1137" s="150"/>
      <c r="Q1137" s="150"/>
      <c r="R1137" s="150"/>
      <c r="S1137" s="150"/>
      <c r="T1137" s="186"/>
      <c r="U1137" s="186"/>
      <c r="V1137" s="186"/>
      <c r="W1137" s="186"/>
      <c r="X1137" s="186"/>
      <c r="Y1137" s="186"/>
      <c r="Z1137" s="186"/>
      <c r="AA1137" s="186"/>
      <c r="AB1137" s="186"/>
      <c r="AC1137" s="186"/>
      <c r="AD1137" s="186"/>
      <c r="AF1137" s="150"/>
      <c r="AG1137" s="150"/>
      <c r="AH1137" s="150"/>
      <c r="AI1137" s="150"/>
      <c r="AJ1137" s="150"/>
      <c r="AK1137" s="150"/>
      <c r="AL1137" s="150"/>
      <c r="AM1137" s="150"/>
      <c r="AN1137" s="150"/>
      <c r="AO1137" s="150"/>
      <c r="AP1137" s="150"/>
      <c r="AQ1137" s="150"/>
      <c r="AT1137" s="186"/>
      <c r="AU1137" s="186"/>
      <c r="AV1137" s="186"/>
      <c r="AW1137" s="186"/>
      <c r="AX1137" s="186"/>
      <c r="AY1137" s="186"/>
      <c r="AZ1137" s="186"/>
      <c r="BA1137" s="186"/>
      <c r="BB1137" s="186"/>
      <c r="BC1137" s="186"/>
      <c r="BD1137" s="186"/>
      <c r="BE1137" s="186"/>
      <c r="BF1137" s="150"/>
      <c r="BG1137" s="150"/>
    </row>
    <row r="1138" spans="3:59" ht="14.6">
      <c r="C1138" s="289"/>
      <c r="D1138" s="150"/>
      <c r="E1138" s="150"/>
      <c r="F1138" s="150"/>
      <c r="G1138" s="150"/>
      <c r="H1138" s="150"/>
      <c r="I1138" s="150"/>
      <c r="J1138" s="150"/>
      <c r="K1138" s="150"/>
      <c r="L1138" s="150"/>
      <c r="M1138" s="150"/>
      <c r="N1138" s="150"/>
      <c r="O1138" s="150"/>
      <c r="P1138" s="150"/>
      <c r="Q1138" s="150"/>
      <c r="R1138" s="150"/>
      <c r="S1138" s="150"/>
      <c r="T1138" s="186"/>
      <c r="U1138" s="186"/>
      <c r="V1138" s="186"/>
      <c r="W1138" s="186"/>
      <c r="X1138" s="186"/>
      <c r="Y1138" s="186"/>
      <c r="Z1138" s="186"/>
      <c r="AA1138" s="186"/>
      <c r="AB1138" s="186"/>
      <c r="AC1138" s="186"/>
      <c r="AD1138" s="186"/>
      <c r="AF1138" s="150"/>
      <c r="AG1138" s="150"/>
      <c r="AH1138" s="150"/>
      <c r="AI1138" s="150"/>
      <c r="AJ1138" s="150"/>
      <c r="AK1138" s="150"/>
      <c r="AL1138" s="150"/>
      <c r="AM1138" s="150"/>
      <c r="AN1138" s="150"/>
      <c r="AO1138" s="150"/>
      <c r="AP1138" s="150"/>
      <c r="AQ1138" s="150"/>
      <c r="AT1138" s="186"/>
      <c r="AU1138" s="186"/>
      <c r="AV1138" s="186"/>
      <c r="AW1138" s="186"/>
      <c r="AX1138" s="186"/>
      <c r="AY1138" s="186"/>
      <c r="AZ1138" s="186"/>
      <c r="BA1138" s="186"/>
      <c r="BB1138" s="186"/>
      <c r="BC1138" s="186"/>
      <c r="BD1138" s="186"/>
      <c r="BE1138" s="186"/>
      <c r="BF1138" s="150"/>
      <c r="BG1138" s="150"/>
    </row>
    <row r="1139" spans="3:59" ht="14.6">
      <c r="C1139" s="289"/>
      <c r="D1139" s="150"/>
      <c r="E1139" s="150"/>
      <c r="F1139" s="150"/>
      <c r="G1139" s="150"/>
      <c r="H1139" s="150"/>
      <c r="I1139" s="150"/>
      <c r="J1139" s="150"/>
      <c r="K1139" s="150"/>
      <c r="L1139" s="150"/>
      <c r="M1139" s="150"/>
      <c r="N1139" s="150"/>
      <c r="O1139" s="150"/>
      <c r="P1139" s="150"/>
      <c r="Q1139" s="150"/>
      <c r="R1139" s="150"/>
      <c r="S1139" s="150"/>
      <c r="T1139" s="186"/>
      <c r="U1139" s="186"/>
      <c r="V1139" s="186"/>
      <c r="W1139" s="186"/>
      <c r="X1139" s="186"/>
      <c r="Y1139" s="186"/>
      <c r="Z1139" s="186"/>
      <c r="AA1139" s="186"/>
      <c r="AB1139" s="186"/>
      <c r="AC1139" s="186"/>
      <c r="AD1139" s="186"/>
      <c r="AF1139" s="150"/>
      <c r="AG1139" s="150"/>
      <c r="AH1139" s="150"/>
      <c r="AI1139" s="150"/>
      <c r="AJ1139" s="150"/>
      <c r="AK1139" s="150"/>
      <c r="AL1139" s="150"/>
      <c r="AM1139" s="150"/>
      <c r="AN1139" s="150"/>
      <c r="AO1139" s="150"/>
      <c r="AP1139" s="150"/>
      <c r="AQ1139" s="150"/>
      <c r="AT1139" s="186"/>
      <c r="AU1139" s="186"/>
      <c r="AV1139" s="186"/>
      <c r="AW1139" s="186"/>
      <c r="AX1139" s="186"/>
      <c r="AY1139" s="186"/>
      <c r="AZ1139" s="186"/>
      <c r="BA1139" s="186"/>
      <c r="BB1139" s="186"/>
      <c r="BC1139" s="186"/>
      <c r="BD1139" s="186"/>
      <c r="BE1139" s="186"/>
      <c r="BF1139" s="150"/>
      <c r="BG1139" s="150"/>
    </row>
    <row r="1140" spans="3:59" ht="14.6">
      <c r="C1140" s="289"/>
      <c r="D1140" s="150"/>
      <c r="E1140" s="150"/>
      <c r="F1140" s="150"/>
      <c r="G1140" s="150"/>
      <c r="H1140" s="150"/>
      <c r="I1140" s="150"/>
      <c r="J1140" s="150"/>
      <c r="K1140" s="150"/>
      <c r="L1140" s="150"/>
      <c r="M1140" s="150"/>
      <c r="N1140" s="150"/>
      <c r="O1140" s="150"/>
      <c r="P1140" s="150"/>
      <c r="Q1140" s="150"/>
      <c r="R1140" s="150"/>
      <c r="S1140" s="150"/>
      <c r="T1140" s="186"/>
      <c r="U1140" s="186"/>
      <c r="V1140" s="186"/>
      <c r="W1140" s="186"/>
      <c r="X1140" s="186"/>
      <c r="Y1140" s="186"/>
      <c r="Z1140" s="186"/>
      <c r="AA1140" s="186"/>
      <c r="AB1140" s="186"/>
      <c r="AC1140" s="186"/>
      <c r="AD1140" s="186"/>
      <c r="AF1140" s="150"/>
      <c r="AG1140" s="150"/>
      <c r="AH1140" s="150"/>
      <c r="AI1140" s="150"/>
      <c r="AJ1140" s="150"/>
      <c r="AK1140" s="150"/>
      <c r="AL1140" s="150"/>
      <c r="AM1140" s="150"/>
      <c r="AN1140" s="150"/>
      <c r="AO1140" s="150"/>
      <c r="AP1140" s="150"/>
      <c r="AQ1140" s="150"/>
      <c r="AT1140" s="186"/>
      <c r="AU1140" s="186"/>
      <c r="AV1140" s="186"/>
      <c r="AW1140" s="186"/>
      <c r="AX1140" s="186"/>
      <c r="AY1140" s="186"/>
      <c r="AZ1140" s="186"/>
      <c r="BA1140" s="186"/>
      <c r="BB1140" s="186"/>
      <c r="BC1140" s="186"/>
      <c r="BD1140" s="186"/>
      <c r="BE1140" s="186"/>
      <c r="BF1140" s="150"/>
      <c r="BG1140" s="150"/>
    </row>
    <row r="1141" spans="3:59" ht="14.6">
      <c r="C1141" s="289"/>
      <c r="D1141" s="150"/>
      <c r="E1141" s="150"/>
      <c r="F1141" s="150"/>
      <c r="G1141" s="150"/>
      <c r="H1141" s="150"/>
      <c r="I1141" s="150"/>
      <c r="J1141" s="150"/>
      <c r="K1141" s="150"/>
      <c r="L1141" s="150"/>
      <c r="M1141" s="150"/>
      <c r="N1141" s="150"/>
      <c r="O1141" s="150"/>
      <c r="P1141" s="150"/>
      <c r="Q1141" s="150"/>
      <c r="R1141" s="150"/>
      <c r="S1141" s="150"/>
      <c r="T1141" s="186"/>
      <c r="U1141" s="186"/>
      <c r="V1141" s="186"/>
      <c r="W1141" s="186"/>
      <c r="X1141" s="186"/>
      <c r="Y1141" s="186"/>
      <c r="Z1141" s="186"/>
      <c r="AA1141" s="186"/>
      <c r="AB1141" s="186"/>
      <c r="AC1141" s="186"/>
      <c r="AD1141" s="186"/>
      <c r="AF1141" s="150"/>
      <c r="AG1141" s="150"/>
      <c r="AH1141" s="150"/>
      <c r="AI1141" s="150"/>
      <c r="AJ1141" s="150"/>
      <c r="AK1141" s="150"/>
      <c r="AL1141" s="150"/>
      <c r="AM1141" s="150"/>
      <c r="AN1141" s="150"/>
      <c r="AO1141" s="150"/>
      <c r="AP1141" s="150"/>
      <c r="AQ1141" s="150"/>
      <c r="AT1141" s="186"/>
      <c r="AU1141" s="186"/>
      <c r="AV1141" s="186"/>
      <c r="AW1141" s="186"/>
      <c r="AX1141" s="186"/>
      <c r="AY1141" s="186"/>
      <c r="AZ1141" s="186"/>
      <c r="BA1141" s="186"/>
      <c r="BB1141" s="186"/>
      <c r="BC1141" s="186"/>
      <c r="BD1141" s="186"/>
      <c r="BE1141" s="186"/>
      <c r="BF1141" s="150"/>
      <c r="BG1141" s="150"/>
    </row>
    <row r="1142" spans="3:59" ht="14.6">
      <c r="C1142" s="289"/>
      <c r="D1142" s="150"/>
      <c r="E1142" s="150"/>
      <c r="F1142" s="150"/>
      <c r="G1142" s="150"/>
      <c r="H1142" s="150"/>
      <c r="I1142" s="150"/>
      <c r="J1142" s="150"/>
      <c r="K1142" s="150"/>
      <c r="L1142" s="150"/>
      <c r="M1142" s="150"/>
      <c r="N1142" s="150"/>
      <c r="O1142" s="150"/>
      <c r="P1142" s="150"/>
      <c r="Q1142" s="150"/>
      <c r="R1142" s="150"/>
      <c r="S1142" s="150"/>
      <c r="T1142" s="186"/>
      <c r="U1142" s="186"/>
      <c r="V1142" s="186"/>
      <c r="W1142" s="186"/>
      <c r="X1142" s="186"/>
      <c r="Y1142" s="186"/>
      <c r="Z1142" s="186"/>
      <c r="AA1142" s="186"/>
      <c r="AB1142" s="186"/>
      <c r="AC1142" s="186"/>
      <c r="AD1142" s="186"/>
      <c r="AF1142" s="150"/>
      <c r="AG1142" s="150"/>
      <c r="AH1142" s="150"/>
      <c r="AI1142" s="150"/>
      <c r="AJ1142" s="150"/>
      <c r="AK1142" s="150"/>
      <c r="AL1142" s="150"/>
      <c r="AM1142" s="150"/>
      <c r="AN1142" s="150"/>
      <c r="AO1142" s="150"/>
      <c r="AP1142" s="150"/>
      <c r="AQ1142" s="150"/>
      <c r="AT1142" s="186"/>
      <c r="AU1142" s="186"/>
      <c r="AV1142" s="186"/>
      <c r="AW1142" s="186"/>
      <c r="AX1142" s="186"/>
      <c r="AY1142" s="186"/>
      <c r="AZ1142" s="186"/>
      <c r="BA1142" s="186"/>
      <c r="BB1142" s="186"/>
      <c r="BC1142" s="186"/>
      <c r="BD1142" s="186"/>
      <c r="BE1142" s="186"/>
      <c r="BF1142" s="150"/>
      <c r="BG1142" s="150"/>
    </row>
    <row r="1143" spans="3:59" ht="14.6">
      <c r="C1143" s="289"/>
      <c r="D1143" s="150"/>
      <c r="E1143" s="150"/>
      <c r="F1143" s="150"/>
      <c r="G1143" s="150"/>
      <c r="H1143" s="150"/>
      <c r="I1143" s="150"/>
      <c r="J1143" s="150"/>
      <c r="K1143" s="150"/>
      <c r="L1143" s="150"/>
      <c r="M1143" s="150"/>
      <c r="N1143" s="150"/>
      <c r="O1143" s="150"/>
      <c r="P1143" s="150"/>
      <c r="Q1143" s="150"/>
      <c r="R1143" s="150"/>
      <c r="S1143" s="150"/>
      <c r="T1143" s="186"/>
      <c r="U1143" s="186"/>
      <c r="V1143" s="186"/>
      <c r="W1143" s="186"/>
      <c r="X1143" s="186"/>
      <c r="Y1143" s="186"/>
      <c r="Z1143" s="186"/>
      <c r="AA1143" s="186"/>
      <c r="AB1143" s="186"/>
      <c r="AC1143" s="186"/>
      <c r="AD1143" s="186"/>
      <c r="AF1143" s="150"/>
      <c r="AG1143" s="150"/>
      <c r="AH1143" s="150"/>
      <c r="AI1143" s="150"/>
      <c r="AJ1143" s="150"/>
      <c r="AK1143" s="150"/>
      <c r="AL1143" s="150"/>
      <c r="AM1143" s="150"/>
      <c r="AN1143" s="150"/>
      <c r="AO1143" s="150"/>
      <c r="AP1143" s="150"/>
      <c r="AQ1143" s="150"/>
      <c r="AT1143" s="186"/>
      <c r="AU1143" s="186"/>
      <c r="AV1143" s="186"/>
      <c r="AW1143" s="186"/>
      <c r="AX1143" s="186"/>
      <c r="AY1143" s="186"/>
      <c r="AZ1143" s="186"/>
      <c r="BA1143" s="186"/>
      <c r="BB1143" s="186"/>
      <c r="BC1143" s="186"/>
      <c r="BD1143" s="186"/>
      <c r="BE1143" s="186"/>
      <c r="BF1143" s="150"/>
      <c r="BG1143" s="150"/>
    </row>
    <row r="1144" spans="3:59" ht="14.6">
      <c r="C1144" s="289"/>
      <c r="D1144" s="150"/>
      <c r="E1144" s="150"/>
      <c r="F1144" s="150"/>
      <c r="G1144" s="150"/>
      <c r="H1144" s="150"/>
      <c r="I1144" s="150"/>
      <c r="J1144" s="150"/>
      <c r="K1144" s="150"/>
      <c r="L1144" s="150"/>
      <c r="M1144" s="150"/>
      <c r="N1144" s="150"/>
      <c r="O1144" s="150"/>
      <c r="P1144" s="150"/>
      <c r="Q1144" s="150"/>
      <c r="R1144" s="150"/>
      <c r="S1144" s="150"/>
      <c r="T1144" s="186"/>
      <c r="U1144" s="186"/>
      <c r="V1144" s="186"/>
      <c r="W1144" s="186"/>
      <c r="X1144" s="186"/>
      <c r="Y1144" s="186"/>
      <c r="Z1144" s="186"/>
      <c r="AA1144" s="186"/>
      <c r="AB1144" s="186"/>
      <c r="AC1144" s="186"/>
      <c r="AD1144" s="186"/>
      <c r="AF1144" s="150"/>
      <c r="AG1144" s="150"/>
      <c r="AH1144" s="150"/>
      <c r="AI1144" s="150"/>
      <c r="AJ1144" s="150"/>
      <c r="AK1144" s="150"/>
      <c r="AL1144" s="150"/>
      <c r="AM1144" s="150"/>
      <c r="AN1144" s="150"/>
      <c r="AO1144" s="150"/>
      <c r="AP1144" s="150"/>
      <c r="AQ1144" s="150"/>
      <c r="AT1144" s="186"/>
      <c r="AU1144" s="186"/>
      <c r="AV1144" s="186"/>
      <c r="AW1144" s="186"/>
      <c r="AX1144" s="186"/>
      <c r="AY1144" s="186"/>
      <c r="AZ1144" s="186"/>
      <c r="BA1144" s="186"/>
      <c r="BB1144" s="186"/>
      <c r="BC1144" s="186"/>
      <c r="BD1144" s="186"/>
      <c r="BE1144" s="186"/>
      <c r="BF1144" s="150"/>
      <c r="BG1144" s="150"/>
    </row>
    <row r="1145" spans="3:59" ht="14.6">
      <c r="C1145" s="289"/>
      <c r="D1145" s="150"/>
      <c r="E1145" s="150"/>
      <c r="F1145" s="150"/>
      <c r="G1145" s="150"/>
      <c r="H1145" s="150"/>
      <c r="I1145" s="150"/>
      <c r="J1145" s="150"/>
      <c r="K1145" s="150"/>
      <c r="L1145" s="150"/>
      <c r="M1145" s="150"/>
      <c r="N1145" s="150"/>
      <c r="O1145" s="150"/>
      <c r="P1145" s="150"/>
      <c r="Q1145" s="150"/>
      <c r="R1145" s="150"/>
      <c r="S1145" s="150"/>
      <c r="T1145" s="186"/>
      <c r="U1145" s="186"/>
      <c r="V1145" s="186"/>
      <c r="W1145" s="186"/>
      <c r="X1145" s="186"/>
      <c r="Y1145" s="186"/>
      <c r="Z1145" s="186"/>
      <c r="AA1145" s="186"/>
      <c r="AB1145" s="186"/>
      <c r="AC1145" s="186"/>
      <c r="AD1145" s="186"/>
      <c r="AF1145" s="150"/>
      <c r="AG1145" s="150"/>
      <c r="AH1145" s="150"/>
      <c r="AI1145" s="150"/>
      <c r="AJ1145" s="150"/>
      <c r="AK1145" s="150"/>
      <c r="AL1145" s="150"/>
      <c r="AM1145" s="150"/>
      <c r="AN1145" s="150"/>
      <c r="AO1145" s="150"/>
      <c r="AP1145" s="150"/>
      <c r="AQ1145" s="150"/>
      <c r="AT1145" s="186"/>
      <c r="AU1145" s="186"/>
      <c r="AV1145" s="186"/>
      <c r="AW1145" s="186"/>
      <c r="AX1145" s="186"/>
      <c r="AY1145" s="186"/>
      <c r="AZ1145" s="186"/>
      <c r="BA1145" s="186"/>
      <c r="BB1145" s="186"/>
      <c r="BC1145" s="186"/>
      <c r="BD1145" s="186"/>
      <c r="BE1145" s="186"/>
      <c r="BF1145" s="150"/>
      <c r="BG1145" s="150"/>
    </row>
    <row r="1146" spans="3:59" ht="14.6">
      <c r="C1146" s="289"/>
      <c r="D1146" s="150"/>
      <c r="E1146" s="150"/>
      <c r="F1146" s="150"/>
      <c r="G1146" s="150"/>
      <c r="H1146" s="150"/>
      <c r="I1146" s="150"/>
      <c r="J1146" s="150"/>
      <c r="K1146" s="150"/>
      <c r="L1146" s="150"/>
      <c r="M1146" s="150"/>
      <c r="N1146" s="150"/>
      <c r="O1146" s="150"/>
      <c r="P1146" s="150"/>
      <c r="Q1146" s="150"/>
      <c r="R1146" s="150"/>
      <c r="S1146" s="150"/>
      <c r="T1146" s="186"/>
      <c r="U1146" s="186"/>
      <c r="V1146" s="186"/>
      <c r="W1146" s="186"/>
      <c r="X1146" s="186"/>
      <c r="Y1146" s="186"/>
      <c r="Z1146" s="186"/>
      <c r="AA1146" s="186"/>
      <c r="AB1146" s="186"/>
      <c r="AC1146" s="186"/>
      <c r="AD1146" s="186"/>
      <c r="AF1146" s="150"/>
      <c r="AG1146" s="150"/>
      <c r="AH1146" s="150"/>
      <c r="AI1146" s="150"/>
      <c r="AJ1146" s="150"/>
      <c r="AK1146" s="150"/>
      <c r="AL1146" s="150"/>
      <c r="AM1146" s="150"/>
      <c r="AN1146" s="150"/>
      <c r="AO1146" s="150"/>
      <c r="AP1146" s="150"/>
      <c r="AQ1146" s="150"/>
      <c r="AT1146" s="186"/>
      <c r="AU1146" s="186"/>
      <c r="AV1146" s="186"/>
      <c r="AW1146" s="186"/>
      <c r="AX1146" s="186"/>
      <c r="AY1146" s="186"/>
      <c r="AZ1146" s="186"/>
      <c r="BA1146" s="186"/>
      <c r="BB1146" s="186"/>
      <c r="BC1146" s="186"/>
      <c r="BD1146" s="186"/>
      <c r="BE1146" s="186"/>
      <c r="BF1146" s="150"/>
      <c r="BG1146" s="150"/>
    </row>
    <row r="1147" spans="3:59" ht="14.6">
      <c r="C1147" s="289"/>
      <c r="D1147" s="150"/>
      <c r="E1147" s="150"/>
      <c r="F1147" s="150"/>
      <c r="G1147" s="150"/>
      <c r="H1147" s="150"/>
      <c r="I1147" s="150"/>
      <c r="J1147" s="150"/>
      <c r="K1147" s="150"/>
      <c r="L1147" s="150"/>
      <c r="M1147" s="150"/>
      <c r="N1147" s="150"/>
      <c r="O1147" s="150"/>
      <c r="P1147" s="150"/>
      <c r="Q1147" s="150"/>
      <c r="R1147" s="150"/>
      <c r="S1147" s="150"/>
      <c r="T1147" s="186"/>
      <c r="U1147" s="186"/>
      <c r="V1147" s="186"/>
      <c r="W1147" s="186"/>
      <c r="X1147" s="186"/>
      <c r="Y1147" s="186"/>
      <c r="Z1147" s="186"/>
      <c r="AA1147" s="186"/>
      <c r="AB1147" s="186"/>
      <c r="AC1147" s="186"/>
      <c r="AD1147" s="186"/>
      <c r="AF1147" s="150"/>
      <c r="AG1147" s="150"/>
      <c r="AH1147" s="150"/>
      <c r="AI1147" s="150"/>
      <c r="AJ1147" s="150"/>
      <c r="AK1147" s="150"/>
      <c r="AL1147" s="150"/>
      <c r="AM1147" s="150"/>
      <c r="AN1147" s="150"/>
      <c r="AO1147" s="150"/>
      <c r="AP1147" s="150"/>
      <c r="AQ1147" s="150"/>
      <c r="AT1147" s="186"/>
      <c r="AU1147" s="186"/>
      <c r="AV1147" s="186"/>
      <c r="AW1147" s="186"/>
      <c r="AX1147" s="186"/>
      <c r="AY1147" s="186"/>
      <c r="AZ1147" s="186"/>
      <c r="BA1147" s="186"/>
      <c r="BB1147" s="186"/>
      <c r="BC1147" s="186"/>
      <c r="BD1147" s="186"/>
      <c r="BE1147" s="186"/>
      <c r="BF1147" s="150"/>
      <c r="BG1147" s="150"/>
    </row>
    <row r="1148" spans="3:59" ht="14.6">
      <c r="C1148" s="289"/>
      <c r="D1148" s="150"/>
      <c r="E1148" s="150"/>
      <c r="F1148" s="150"/>
      <c r="G1148" s="150"/>
      <c r="H1148" s="150"/>
      <c r="I1148" s="150"/>
      <c r="J1148" s="150"/>
      <c r="K1148" s="150"/>
      <c r="L1148" s="150"/>
      <c r="M1148" s="150"/>
      <c r="N1148" s="150"/>
      <c r="O1148" s="150"/>
      <c r="P1148" s="150"/>
      <c r="Q1148" s="150"/>
      <c r="R1148" s="150"/>
      <c r="S1148" s="150"/>
      <c r="T1148" s="186"/>
      <c r="U1148" s="186"/>
      <c r="V1148" s="186"/>
      <c r="W1148" s="186"/>
      <c r="X1148" s="186"/>
      <c r="Y1148" s="186"/>
      <c r="Z1148" s="186"/>
      <c r="AA1148" s="186"/>
      <c r="AB1148" s="186"/>
      <c r="AC1148" s="186"/>
      <c r="AD1148" s="186"/>
      <c r="AF1148" s="150"/>
      <c r="AG1148" s="150"/>
      <c r="AH1148" s="150"/>
      <c r="AI1148" s="150"/>
      <c r="AJ1148" s="150"/>
      <c r="AK1148" s="150"/>
      <c r="AL1148" s="150"/>
      <c r="AM1148" s="150"/>
      <c r="AN1148" s="150"/>
      <c r="AO1148" s="150"/>
      <c r="AP1148" s="150"/>
      <c r="AQ1148" s="150"/>
      <c r="AT1148" s="186"/>
      <c r="AU1148" s="186"/>
      <c r="AV1148" s="186"/>
      <c r="AW1148" s="186"/>
      <c r="AX1148" s="186"/>
      <c r="AY1148" s="186"/>
      <c r="AZ1148" s="186"/>
      <c r="BA1148" s="186"/>
      <c r="BB1148" s="186"/>
      <c r="BC1148" s="186"/>
      <c r="BD1148" s="186"/>
      <c r="BE1148" s="186"/>
      <c r="BF1148" s="150"/>
      <c r="BG1148" s="150"/>
    </row>
    <row r="1149" spans="3:59" ht="14.6">
      <c r="C1149" s="289"/>
      <c r="D1149" s="150"/>
      <c r="E1149" s="150"/>
      <c r="F1149" s="150"/>
      <c r="G1149" s="150"/>
      <c r="H1149" s="150"/>
      <c r="I1149" s="150"/>
      <c r="J1149" s="150"/>
      <c r="K1149" s="150"/>
      <c r="L1149" s="150"/>
      <c r="M1149" s="150"/>
      <c r="N1149" s="150"/>
      <c r="O1149" s="150"/>
      <c r="P1149" s="150"/>
      <c r="Q1149" s="150"/>
      <c r="R1149" s="150"/>
      <c r="S1149" s="150"/>
      <c r="T1149" s="186"/>
      <c r="U1149" s="186"/>
      <c r="V1149" s="186"/>
      <c r="W1149" s="186"/>
      <c r="X1149" s="186"/>
      <c r="Y1149" s="186"/>
      <c r="Z1149" s="186"/>
      <c r="AA1149" s="186"/>
      <c r="AB1149" s="186"/>
      <c r="AC1149" s="186"/>
      <c r="AD1149" s="186"/>
      <c r="AF1149" s="150"/>
      <c r="AG1149" s="150"/>
      <c r="AH1149" s="150"/>
      <c r="AI1149" s="150"/>
      <c r="AJ1149" s="150"/>
      <c r="AK1149" s="150"/>
      <c r="AL1149" s="150"/>
      <c r="AM1149" s="150"/>
      <c r="AN1149" s="150"/>
      <c r="AO1149" s="150"/>
      <c r="AP1149" s="150"/>
      <c r="AQ1149" s="150"/>
      <c r="AT1149" s="186"/>
      <c r="AU1149" s="186"/>
      <c r="AV1149" s="186"/>
      <c r="AW1149" s="186"/>
      <c r="AX1149" s="186"/>
      <c r="AY1149" s="186"/>
      <c r="AZ1149" s="186"/>
      <c r="BA1149" s="186"/>
      <c r="BB1149" s="186"/>
      <c r="BC1149" s="186"/>
      <c r="BD1149" s="186"/>
      <c r="BE1149" s="186"/>
      <c r="BF1149" s="150"/>
      <c r="BG1149" s="150"/>
    </row>
    <row r="1150" spans="3:59" ht="14.6">
      <c r="C1150" s="289"/>
      <c r="D1150" s="150"/>
      <c r="E1150" s="150"/>
      <c r="F1150" s="150"/>
      <c r="G1150" s="150"/>
      <c r="H1150" s="150"/>
      <c r="I1150" s="150"/>
      <c r="J1150" s="150"/>
      <c r="K1150" s="150"/>
      <c r="L1150" s="150"/>
      <c r="M1150" s="150"/>
      <c r="N1150" s="150"/>
      <c r="O1150" s="150"/>
      <c r="P1150" s="150"/>
      <c r="Q1150" s="150"/>
      <c r="R1150" s="150"/>
      <c r="S1150" s="150"/>
      <c r="T1150" s="186"/>
      <c r="U1150" s="186"/>
      <c r="V1150" s="186"/>
      <c r="W1150" s="186"/>
      <c r="X1150" s="186"/>
      <c r="Y1150" s="186"/>
      <c r="Z1150" s="186"/>
      <c r="AA1150" s="186"/>
      <c r="AB1150" s="186"/>
      <c r="AC1150" s="186"/>
      <c r="AD1150" s="186"/>
      <c r="AF1150" s="150"/>
      <c r="AG1150" s="150"/>
      <c r="AH1150" s="150"/>
      <c r="AI1150" s="150"/>
      <c r="AJ1150" s="150"/>
      <c r="AK1150" s="150"/>
      <c r="AL1150" s="150"/>
      <c r="AM1150" s="150"/>
      <c r="AN1150" s="150"/>
      <c r="AO1150" s="150"/>
      <c r="AP1150" s="150"/>
      <c r="AQ1150" s="150"/>
      <c r="AT1150" s="186"/>
      <c r="AU1150" s="186"/>
      <c r="AV1150" s="186"/>
      <c r="AW1150" s="186"/>
      <c r="AX1150" s="186"/>
      <c r="AY1150" s="186"/>
      <c r="AZ1150" s="186"/>
      <c r="BA1150" s="186"/>
      <c r="BB1150" s="186"/>
      <c r="BC1150" s="186"/>
      <c r="BD1150" s="186"/>
      <c r="BE1150" s="186"/>
      <c r="BF1150" s="150"/>
      <c r="BG1150" s="150"/>
    </row>
    <row r="1151" spans="3:59" ht="14.6">
      <c r="C1151" s="289"/>
      <c r="D1151" s="150"/>
      <c r="E1151" s="150"/>
      <c r="F1151" s="150"/>
      <c r="G1151" s="150"/>
      <c r="H1151" s="150"/>
      <c r="I1151" s="150"/>
      <c r="J1151" s="150"/>
      <c r="K1151" s="150"/>
      <c r="L1151" s="150"/>
      <c r="M1151" s="150"/>
      <c r="N1151" s="150"/>
      <c r="O1151" s="150"/>
      <c r="P1151" s="150"/>
      <c r="Q1151" s="150"/>
      <c r="R1151" s="150"/>
      <c r="S1151" s="150"/>
      <c r="T1151" s="186"/>
      <c r="U1151" s="186"/>
      <c r="V1151" s="186"/>
      <c r="W1151" s="186"/>
      <c r="X1151" s="186"/>
      <c r="Y1151" s="186"/>
      <c r="Z1151" s="186"/>
      <c r="AA1151" s="186"/>
      <c r="AB1151" s="186"/>
      <c r="AC1151" s="186"/>
      <c r="AD1151" s="186"/>
      <c r="AF1151" s="150"/>
      <c r="AG1151" s="150"/>
      <c r="AH1151" s="150"/>
      <c r="AI1151" s="150"/>
      <c r="AJ1151" s="150"/>
      <c r="AK1151" s="150"/>
      <c r="AL1151" s="150"/>
      <c r="AM1151" s="150"/>
      <c r="AN1151" s="150"/>
      <c r="AO1151" s="150"/>
      <c r="AP1151" s="150"/>
      <c r="AQ1151" s="150"/>
      <c r="AT1151" s="186"/>
      <c r="AU1151" s="186"/>
      <c r="AV1151" s="186"/>
      <c r="AW1151" s="186"/>
      <c r="AX1151" s="186"/>
      <c r="AY1151" s="186"/>
      <c r="AZ1151" s="186"/>
      <c r="BA1151" s="186"/>
      <c r="BB1151" s="186"/>
      <c r="BC1151" s="186"/>
      <c r="BD1151" s="186"/>
      <c r="BE1151" s="186"/>
      <c r="BF1151" s="150"/>
      <c r="BG1151" s="150"/>
    </row>
    <row r="1152" spans="3:59" ht="14.6">
      <c r="C1152" s="289"/>
      <c r="D1152" s="150"/>
      <c r="E1152" s="150"/>
      <c r="F1152" s="150"/>
      <c r="G1152" s="150"/>
      <c r="H1152" s="150"/>
      <c r="I1152" s="150"/>
      <c r="J1152" s="150"/>
      <c r="K1152" s="150"/>
      <c r="L1152" s="150"/>
      <c r="M1152" s="150"/>
      <c r="N1152" s="150"/>
      <c r="O1152" s="150"/>
      <c r="P1152" s="150"/>
      <c r="Q1152" s="150"/>
      <c r="R1152" s="150"/>
      <c r="S1152" s="150"/>
      <c r="T1152" s="186"/>
      <c r="U1152" s="186"/>
      <c r="V1152" s="186"/>
      <c r="W1152" s="186"/>
      <c r="X1152" s="186"/>
      <c r="Y1152" s="186"/>
      <c r="Z1152" s="186"/>
      <c r="AA1152" s="186"/>
      <c r="AB1152" s="186"/>
      <c r="AC1152" s="186"/>
      <c r="AD1152" s="186"/>
      <c r="AF1152" s="150"/>
      <c r="AG1152" s="150"/>
      <c r="AH1152" s="150"/>
      <c r="AI1152" s="150"/>
      <c r="AJ1152" s="150"/>
      <c r="AK1152" s="150"/>
      <c r="AL1152" s="150"/>
      <c r="AM1152" s="150"/>
      <c r="AN1152" s="150"/>
      <c r="AO1152" s="150"/>
      <c r="AP1152" s="150"/>
      <c r="AQ1152" s="150"/>
      <c r="AT1152" s="186"/>
      <c r="AU1152" s="186"/>
      <c r="AV1152" s="186"/>
      <c r="AW1152" s="186"/>
      <c r="AX1152" s="186"/>
      <c r="AY1152" s="186"/>
      <c r="AZ1152" s="186"/>
      <c r="BA1152" s="186"/>
      <c r="BB1152" s="186"/>
      <c r="BC1152" s="186"/>
      <c r="BD1152" s="186"/>
      <c r="BE1152" s="186"/>
      <c r="BF1152" s="150"/>
      <c r="BG1152" s="150"/>
    </row>
    <row r="1153" spans="3:59" ht="14.6">
      <c r="C1153" s="289"/>
      <c r="D1153" s="150"/>
      <c r="E1153" s="150"/>
      <c r="F1153" s="150"/>
      <c r="G1153" s="150"/>
      <c r="H1153" s="150"/>
      <c r="I1153" s="150"/>
      <c r="J1153" s="150"/>
      <c r="K1153" s="150"/>
      <c r="L1153" s="150"/>
      <c r="M1153" s="150"/>
      <c r="N1153" s="150"/>
      <c r="O1153" s="150"/>
      <c r="P1153" s="150"/>
      <c r="Q1153" s="150"/>
      <c r="R1153" s="150"/>
      <c r="S1153" s="150"/>
      <c r="T1153" s="186"/>
      <c r="U1153" s="186"/>
      <c r="V1153" s="186"/>
      <c r="W1153" s="186"/>
      <c r="X1153" s="186"/>
      <c r="Y1153" s="186"/>
      <c r="Z1153" s="186"/>
      <c r="AA1153" s="186"/>
      <c r="AB1153" s="186"/>
      <c r="AC1153" s="186"/>
      <c r="AD1153" s="186"/>
      <c r="AF1153" s="150"/>
      <c r="AG1153" s="150"/>
      <c r="AH1153" s="150"/>
      <c r="AI1153" s="150"/>
      <c r="AJ1153" s="150"/>
      <c r="AK1153" s="150"/>
      <c r="AL1153" s="150"/>
      <c r="AM1153" s="150"/>
      <c r="AN1153" s="150"/>
      <c r="AO1153" s="150"/>
      <c r="AP1153" s="150"/>
      <c r="AQ1153" s="150"/>
      <c r="AT1153" s="186"/>
      <c r="AU1153" s="186"/>
      <c r="AV1153" s="186"/>
      <c r="AW1153" s="186"/>
      <c r="AX1153" s="186"/>
      <c r="AY1153" s="186"/>
      <c r="AZ1153" s="186"/>
      <c r="BA1153" s="186"/>
      <c r="BB1153" s="186"/>
      <c r="BC1153" s="186"/>
      <c r="BD1153" s="186"/>
      <c r="BE1153" s="186"/>
      <c r="BF1153" s="150"/>
      <c r="BG1153" s="150"/>
    </row>
    <row r="1154" spans="3:59" ht="14.6">
      <c r="C1154" s="289"/>
      <c r="D1154" s="150"/>
      <c r="E1154" s="150"/>
      <c r="F1154" s="150"/>
      <c r="G1154" s="150"/>
      <c r="H1154" s="150"/>
      <c r="I1154" s="150"/>
      <c r="J1154" s="150"/>
      <c r="K1154" s="150"/>
      <c r="L1154" s="150"/>
      <c r="M1154" s="150"/>
      <c r="N1154" s="150"/>
      <c r="O1154" s="150"/>
      <c r="P1154" s="150"/>
      <c r="Q1154" s="150"/>
      <c r="R1154" s="150"/>
      <c r="S1154" s="150"/>
      <c r="T1154" s="186"/>
      <c r="U1154" s="186"/>
      <c r="V1154" s="186"/>
      <c r="W1154" s="186"/>
      <c r="X1154" s="186"/>
      <c r="Y1154" s="186"/>
      <c r="Z1154" s="186"/>
      <c r="AA1154" s="186"/>
      <c r="AB1154" s="186"/>
      <c r="AC1154" s="186"/>
      <c r="AD1154" s="186"/>
      <c r="AF1154" s="150"/>
      <c r="AG1154" s="150"/>
      <c r="AH1154" s="150"/>
      <c r="AI1154" s="150"/>
      <c r="AJ1154" s="150"/>
      <c r="AK1154" s="150"/>
      <c r="AL1154" s="150"/>
      <c r="AM1154" s="150"/>
      <c r="AN1154" s="150"/>
      <c r="AO1154" s="150"/>
      <c r="AP1154" s="150"/>
      <c r="AQ1154" s="150"/>
      <c r="AT1154" s="186"/>
      <c r="AU1154" s="186"/>
      <c r="AV1154" s="186"/>
      <c r="AW1154" s="186"/>
      <c r="AX1154" s="186"/>
      <c r="AY1154" s="186"/>
      <c r="AZ1154" s="186"/>
      <c r="BA1154" s="186"/>
      <c r="BB1154" s="186"/>
      <c r="BC1154" s="186"/>
      <c r="BD1154" s="186"/>
      <c r="BE1154" s="186"/>
      <c r="BF1154" s="150"/>
      <c r="BG1154" s="150"/>
    </row>
    <row r="1155" spans="3:59" ht="14.6">
      <c r="C1155" s="289"/>
      <c r="D1155" s="150"/>
      <c r="E1155" s="150"/>
      <c r="F1155" s="150"/>
      <c r="G1155" s="150"/>
      <c r="H1155" s="150"/>
      <c r="I1155" s="150"/>
      <c r="J1155" s="150"/>
      <c r="K1155" s="150"/>
      <c r="L1155" s="150"/>
      <c r="M1155" s="150"/>
      <c r="N1155" s="150"/>
      <c r="O1155" s="150"/>
      <c r="P1155" s="150"/>
      <c r="Q1155" s="150"/>
      <c r="R1155" s="150"/>
      <c r="S1155" s="150"/>
      <c r="T1155" s="186"/>
      <c r="U1155" s="186"/>
      <c r="V1155" s="186"/>
      <c r="W1155" s="186"/>
      <c r="X1155" s="186"/>
      <c r="Y1155" s="186"/>
      <c r="Z1155" s="186"/>
      <c r="AA1155" s="186"/>
      <c r="AB1155" s="186"/>
      <c r="AC1155" s="186"/>
      <c r="AD1155" s="186"/>
      <c r="AF1155" s="150"/>
      <c r="AG1155" s="150"/>
      <c r="AH1155" s="150"/>
      <c r="AI1155" s="150"/>
      <c r="AJ1155" s="150"/>
      <c r="AK1155" s="150"/>
      <c r="AL1155" s="150"/>
      <c r="AM1155" s="150"/>
      <c r="AN1155" s="150"/>
      <c r="AO1155" s="150"/>
      <c r="AP1155" s="150"/>
      <c r="AQ1155" s="150"/>
      <c r="AT1155" s="186"/>
      <c r="AU1155" s="186"/>
      <c r="AV1155" s="186"/>
      <c r="AW1155" s="186"/>
      <c r="AX1155" s="186"/>
      <c r="AY1155" s="186"/>
      <c r="AZ1155" s="186"/>
      <c r="BA1155" s="186"/>
      <c r="BB1155" s="186"/>
      <c r="BC1155" s="186"/>
      <c r="BD1155" s="186"/>
      <c r="BE1155" s="186"/>
      <c r="BF1155" s="150"/>
      <c r="BG1155" s="150"/>
    </row>
    <row r="1156" spans="3:59" ht="14.6">
      <c r="C1156" s="289"/>
      <c r="D1156" s="150"/>
      <c r="E1156" s="150"/>
      <c r="F1156" s="150"/>
      <c r="G1156" s="150"/>
      <c r="H1156" s="150"/>
      <c r="I1156" s="150"/>
      <c r="J1156" s="150"/>
      <c r="K1156" s="150"/>
      <c r="L1156" s="150"/>
      <c r="M1156" s="150"/>
      <c r="N1156" s="150"/>
      <c r="O1156" s="150"/>
      <c r="P1156" s="150"/>
      <c r="Q1156" s="150"/>
      <c r="R1156" s="150"/>
      <c r="S1156" s="150"/>
      <c r="T1156" s="186"/>
      <c r="U1156" s="186"/>
      <c r="V1156" s="186"/>
      <c r="W1156" s="186"/>
      <c r="X1156" s="186"/>
      <c r="Y1156" s="186"/>
      <c r="Z1156" s="186"/>
      <c r="AA1156" s="186"/>
      <c r="AB1156" s="186"/>
      <c r="AC1156" s="186"/>
      <c r="AD1156" s="186"/>
      <c r="AF1156" s="150"/>
      <c r="AG1156" s="150"/>
      <c r="AH1156" s="150"/>
      <c r="AI1156" s="150"/>
      <c r="AJ1156" s="150"/>
      <c r="AK1156" s="150"/>
      <c r="AL1156" s="150"/>
      <c r="AM1156" s="150"/>
      <c r="AN1156" s="150"/>
      <c r="AO1156" s="150"/>
      <c r="AP1156" s="150"/>
      <c r="AQ1156" s="150"/>
      <c r="AT1156" s="186"/>
      <c r="AU1156" s="186"/>
      <c r="AV1156" s="186"/>
      <c r="AW1156" s="186"/>
      <c r="AX1156" s="186"/>
      <c r="AY1156" s="186"/>
      <c r="AZ1156" s="186"/>
      <c r="BA1156" s="186"/>
      <c r="BB1156" s="186"/>
      <c r="BC1156" s="186"/>
      <c r="BD1156" s="186"/>
      <c r="BE1156" s="186"/>
      <c r="BF1156" s="150"/>
      <c r="BG1156" s="150"/>
    </row>
    <row r="1157" spans="3:59" ht="14.6">
      <c r="C1157" s="289"/>
      <c r="D1157" s="150"/>
      <c r="E1157" s="150"/>
      <c r="F1157" s="150"/>
      <c r="G1157" s="150"/>
      <c r="H1157" s="150"/>
      <c r="I1157" s="150"/>
      <c r="J1157" s="150"/>
      <c r="K1157" s="150"/>
      <c r="L1157" s="150"/>
      <c r="M1157" s="150"/>
      <c r="N1157" s="150"/>
      <c r="O1157" s="150"/>
      <c r="P1157" s="150"/>
      <c r="Q1157" s="150"/>
      <c r="R1157" s="150"/>
      <c r="S1157" s="150"/>
      <c r="T1157" s="186"/>
      <c r="U1157" s="186"/>
      <c r="V1157" s="186"/>
      <c r="W1157" s="186"/>
      <c r="X1157" s="186"/>
      <c r="Y1157" s="186"/>
      <c r="Z1157" s="186"/>
      <c r="AA1157" s="186"/>
      <c r="AB1157" s="186"/>
      <c r="AC1157" s="186"/>
      <c r="AD1157" s="186"/>
      <c r="AF1157" s="150"/>
      <c r="AG1157" s="150"/>
      <c r="AH1157" s="150"/>
      <c r="AI1157" s="150"/>
      <c r="AJ1157" s="150"/>
      <c r="AK1157" s="150"/>
      <c r="AL1157" s="150"/>
      <c r="AM1157" s="150"/>
      <c r="AN1157" s="150"/>
      <c r="AO1157" s="150"/>
      <c r="AP1157" s="150"/>
      <c r="AQ1157" s="150"/>
      <c r="AT1157" s="186"/>
      <c r="AU1157" s="186"/>
      <c r="AV1157" s="186"/>
      <c r="AW1157" s="186"/>
      <c r="AX1157" s="186"/>
      <c r="AY1157" s="186"/>
      <c r="AZ1157" s="186"/>
      <c r="BA1157" s="186"/>
      <c r="BB1157" s="186"/>
      <c r="BC1157" s="186"/>
      <c r="BD1157" s="186"/>
      <c r="BE1157" s="186"/>
      <c r="BF1157" s="150"/>
      <c r="BG1157" s="150"/>
    </row>
    <row r="1158" spans="3:59" ht="14.6">
      <c r="C1158" s="289"/>
      <c r="D1158" s="150"/>
      <c r="E1158" s="150"/>
      <c r="F1158" s="150"/>
      <c r="G1158" s="150"/>
      <c r="H1158" s="150"/>
      <c r="I1158" s="150"/>
      <c r="J1158" s="150"/>
      <c r="K1158" s="150"/>
      <c r="L1158" s="150"/>
      <c r="M1158" s="150"/>
      <c r="N1158" s="150"/>
      <c r="O1158" s="150"/>
      <c r="P1158" s="150"/>
      <c r="Q1158" s="150"/>
      <c r="R1158" s="150"/>
      <c r="S1158" s="150"/>
      <c r="T1158" s="186"/>
      <c r="U1158" s="186"/>
      <c r="V1158" s="186"/>
      <c r="W1158" s="186"/>
      <c r="X1158" s="186"/>
      <c r="Y1158" s="186"/>
      <c r="Z1158" s="186"/>
      <c r="AA1158" s="186"/>
      <c r="AB1158" s="186"/>
      <c r="AC1158" s="186"/>
      <c r="AD1158" s="186"/>
      <c r="AF1158" s="150"/>
      <c r="AG1158" s="150"/>
      <c r="AH1158" s="150"/>
      <c r="AI1158" s="150"/>
      <c r="AJ1158" s="150"/>
      <c r="AK1158" s="150"/>
      <c r="AL1158" s="150"/>
      <c r="AM1158" s="150"/>
      <c r="AN1158" s="150"/>
      <c r="AO1158" s="150"/>
      <c r="AP1158" s="150"/>
      <c r="AQ1158" s="150"/>
      <c r="AT1158" s="186"/>
      <c r="AU1158" s="186"/>
      <c r="AV1158" s="186"/>
      <c r="AW1158" s="186"/>
      <c r="AX1158" s="186"/>
      <c r="AY1158" s="186"/>
      <c r="AZ1158" s="186"/>
      <c r="BA1158" s="186"/>
      <c r="BB1158" s="186"/>
      <c r="BC1158" s="186"/>
      <c r="BD1158" s="186"/>
      <c r="BE1158" s="186"/>
      <c r="BF1158" s="150"/>
      <c r="BG1158" s="150"/>
    </row>
    <row r="1159" spans="3:59" ht="14.6">
      <c r="C1159" s="289"/>
      <c r="D1159" s="150"/>
      <c r="E1159" s="150"/>
      <c r="F1159" s="150"/>
      <c r="G1159" s="150"/>
      <c r="H1159" s="150"/>
      <c r="I1159" s="150"/>
      <c r="J1159" s="150"/>
      <c r="K1159" s="150"/>
      <c r="L1159" s="150"/>
      <c r="M1159" s="150"/>
      <c r="N1159" s="150"/>
      <c r="O1159" s="150"/>
      <c r="P1159" s="150"/>
      <c r="Q1159" s="150"/>
      <c r="R1159" s="150"/>
      <c r="S1159" s="150"/>
      <c r="T1159" s="186"/>
      <c r="U1159" s="186"/>
      <c r="V1159" s="186"/>
      <c r="W1159" s="186"/>
      <c r="X1159" s="186"/>
      <c r="Y1159" s="186"/>
      <c r="Z1159" s="186"/>
      <c r="AA1159" s="186"/>
      <c r="AB1159" s="186"/>
      <c r="AC1159" s="186"/>
      <c r="AD1159" s="186"/>
      <c r="AF1159" s="150"/>
      <c r="AG1159" s="150"/>
      <c r="AH1159" s="150"/>
      <c r="AI1159" s="150"/>
      <c r="AJ1159" s="150"/>
      <c r="AK1159" s="150"/>
      <c r="AL1159" s="150"/>
      <c r="AM1159" s="150"/>
      <c r="AN1159" s="150"/>
      <c r="AO1159" s="150"/>
      <c r="AP1159" s="150"/>
      <c r="AQ1159" s="150"/>
      <c r="AT1159" s="186"/>
      <c r="AU1159" s="186"/>
      <c r="AV1159" s="186"/>
      <c r="AW1159" s="186"/>
      <c r="AX1159" s="186"/>
      <c r="AY1159" s="186"/>
      <c r="AZ1159" s="186"/>
      <c r="BA1159" s="186"/>
      <c r="BB1159" s="186"/>
      <c r="BC1159" s="186"/>
      <c r="BD1159" s="186"/>
      <c r="BE1159" s="186"/>
      <c r="BF1159" s="150"/>
      <c r="BG1159" s="150"/>
    </row>
    <row r="1160" spans="3:59" ht="14.6">
      <c r="C1160" s="289"/>
      <c r="D1160" s="150"/>
      <c r="E1160" s="150"/>
      <c r="F1160" s="150"/>
      <c r="G1160" s="150"/>
      <c r="H1160" s="150"/>
      <c r="I1160" s="150"/>
      <c r="J1160" s="150"/>
      <c r="K1160" s="150"/>
      <c r="L1160" s="150"/>
      <c r="M1160" s="150"/>
      <c r="N1160" s="150"/>
      <c r="O1160" s="150"/>
      <c r="P1160" s="150"/>
      <c r="Q1160" s="150"/>
      <c r="R1160" s="150"/>
      <c r="S1160" s="150"/>
      <c r="T1160" s="186"/>
      <c r="U1160" s="186"/>
      <c r="V1160" s="186"/>
      <c r="W1160" s="186"/>
      <c r="X1160" s="186"/>
      <c r="Y1160" s="186"/>
      <c r="Z1160" s="186"/>
      <c r="AA1160" s="186"/>
      <c r="AB1160" s="186"/>
      <c r="AC1160" s="186"/>
      <c r="AD1160" s="186"/>
      <c r="AF1160" s="150"/>
      <c r="AG1160" s="150"/>
      <c r="AH1160" s="150"/>
      <c r="AI1160" s="150"/>
      <c r="AJ1160" s="150"/>
      <c r="AK1160" s="150"/>
      <c r="AL1160" s="150"/>
      <c r="AM1160" s="150"/>
      <c r="AN1160" s="150"/>
      <c r="AO1160" s="150"/>
      <c r="AP1160" s="150"/>
      <c r="AQ1160" s="150"/>
      <c r="AT1160" s="186"/>
      <c r="AU1160" s="186"/>
      <c r="AV1160" s="186"/>
      <c r="AW1160" s="186"/>
      <c r="AX1160" s="186"/>
      <c r="AY1160" s="186"/>
      <c r="AZ1160" s="186"/>
      <c r="BA1160" s="186"/>
      <c r="BB1160" s="186"/>
      <c r="BC1160" s="186"/>
      <c r="BD1160" s="186"/>
      <c r="BE1160" s="186"/>
      <c r="BF1160" s="150"/>
      <c r="BG1160" s="150"/>
    </row>
    <row r="1161" spans="3:59" ht="14.6">
      <c r="C1161" s="289"/>
      <c r="D1161" s="150"/>
      <c r="E1161" s="150"/>
      <c r="F1161" s="150"/>
      <c r="G1161" s="150"/>
      <c r="H1161" s="150"/>
      <c r="I1161" s="150"/>
      <c r="J1161" s="150"/>
      <c r="K1161" s="150"/>
      <c r="L1161" s="150"/>
      <c r="M1161" s="150"/>
      <c r="N1161" s="150"/>
      <c r="O1161" s="150"/>
      <c r="P1161" s="150"/>
      <c r="Q1161" s="150"/>
      <c r="R1161" s="150"/>
      <c r="S1161" s="150"/>
      <c r="T1161" s="186"/>
      <c r="U1161" s="186"/>
      <c r="V1161" s="186"/>
      <c r="W1161" s="186"/>
      <c r="X1161" s="186"/>
      <c r="Y1161" s="186"/>
      <c r="Z1161" s="186"/>
      <c r="AA1161" s="186"/>
      <c r="AB1161" s="186"/>
      <c r="AC1161" s="186"/>
      <c r="AD1161" s="186"/>
      <c r="AF1161" s="150"/>
      <c r="AG1161" s="150"/>
      <c r="AH1161" s="150"/>
      <c r="AI1161" s="150"/>
      <c r="AJ1161" s="150"/>
      <c r="AK1161" s="150"/>
      <c r="AL1161" s="150"/>
      <c r="AM1161" s="150"/>
      <c r="AN1161" s="150"/>
      <c r="AO1161" s="150"/>
      <c r="AP1161" s="150"/>
      <c r="AQ1161" s="150"/>
      <c r="AT1161" s="186"/>
      <c r="AU1161" s="186"/>
      <c r="AV1161" s="186"/>
      <c r="AW1161" s="186"/>
      <c r="AX1161" s="186"/>
      <c r="AY1161" s="186"/>
      <c r="AZ1161" s="186"/>
      <c r="BA1161" s="186"/>
      <c r="BB1161" s="186"/>
      <c r="BC1161" s="186"/>
      <c r="BD1161" s="186"/>
      <c r="BE1161" s="186"/>
      <c r="BF1161" s="150"/>
      <c r="BG1161" s="150"/>
    </row>
    <row r="1162" spans="3:59" ht="14.6">
      <c r="C1162" s="289"/>
      <c r="D1162" s="150"/>
      <c r="E1162" s="150"/>
      <c r="F1162" s="150"/>
      <c r="G1162" s="150"/>
      <c r="H1162" s="150"/>
      <c r="I1162" s="150"/>
      <c r="J1162" s="150"/>
      <c r="K1162" s="150"/>
      <c r="L1162" s="150"/>
      <c r="M1162" s="150"/>
      <c r="N1162" s="150"/>
      <c r="O1162" s="150"/>
      <c r="P1162" s="150"/>
      <c r="Q1162" s="150"/>
      <c r="R1162" s="150"/>
      <c r="S1162" s="150"/>
      <c r="T1162" s="186"/>
      <c r="U1162" s="186"/>
      <c r="V1162" s="186"/>
      <c r="W1162" s="186"/>
      <c r="X1162" s="186"/>
      <c r="Y1162" s="186"/>
      <c r="Z1162" s="186"/>
      <c r="AA1162" s="186"/>
      <c r="AB1162" s="186"/>
      <c r="AC1162" s="186"/>
      <c r="AD1162" s="186"/>
      <c r="AF1162" s="150"/>
      <c r="AG1162" s="150"/>
      <c r="AH1162" s="150"/>
      <c r="AI1162" s="150"/>
      <c r="AJ1162" s="150"/>
      <c r="AK1162" s="150"/>
      <c r="AL1162" s="150"/>
      <c r="AM1162" s="150"/>
      <c r="AN1162" s="150"/>
      <c r="AO1162" s="150"/>
      <c r="AP1162" s="150"/>
      <c r="AQ1162" s="150"/>
      <c r="AT1162" s="186"/>
      <c r="AU1162" s="186"/>
      <c r="AV1162" s="186"/>
      <c r="AW1162" s="186"/>
      <c r="AX1162" s="186"/>
      <c r="AY1162" s="186"/>
      <c r="AZ1162" s="186"/>
      <c r="BA1162" s="186"/>
      <c r="BB1162" s="186"/>
      <c r="BC1162" s="186"/>
      <c r="BD1162" s="186"/>
      <c r="BE1162" s="186"/>
      <c r="BF1162" s="150"/>
      <c r="BG1162" s="150"/>
    </row>
    <row r="1163" spans="3:59" ht="14.6">
      <c r="C1163" s="289"/>
      <c r="D1163" s="150"/>
      <c r="E1163" s="150"/>
      <c r="F1163" s="150"/>
      <c r="G1163" s="150"/>
      <c r="H1163" s="150"/>
      <c r="I1163" s="150"/>
      <c r="J1163" s="150"/>
      <c r="K1163" s="150"/>
      <c r="L1163" s="150"/>
      <c r="M1163" s="150"/>
      <c r="N1163" s="150"/>
      <c r="O1163" s="150"/>
      <c r="P1163" s="150"/>
      <c r="Q1163" s="150"/>
      <c r="R1163" s="150"/>
      <c r="S1163" s="150"/>
      <c r="T1163" s="186"/>
      <c r="U1163" s="186"/>
      <c r="V1163" s="186"/>
      <c r="W1163" s="186"/>
      <c r="X1163" s="186"/>
      <c r="Y1163" s="186"/>
      <c r="Z1163" s="186"/>
      <c r="AA1163" s="186"/>
      <c r="AB1163" s="186"/>
      <c r="AC1163" s="186"/>
      <c r="AD1163" s="186"/>
      <c r="AF1163" s="150"/>
      <c r="AG1163" s="150"/>
      <c r="AH1163" s="150"/>
      <c r="AI1163" s="150"/>
      <c r="AJ1163" s="150"/>
      <c r="AK1163" s="150"/>
      <c r="AL1163" s="150"/>
      <c r="AM1163" s="150"/>
      <c r="AN1163" s="150"/>
      <c r="AO1163" s="150"/>
      <c r="AP1163" s="150"/>
      <c r="AQ1163" s="150"/>
      <c r="AT1163" s="186"/>
      <c r="AU1163" s="186"/>
      <c r="AV1163" s="186"/>
      <c r="AW1163" s="186"/>
      <c r="AX1163" s="186"/>
      <c r="AY1163" s="186"/>
      <c r="AZ1163" s="186"/>
      <c r="BA1163" s="186"/>
      <c r="BB1163" s="186"/>
      <c r="BC1163" s="186"/>
      <c r="BD1163" s="186"/>
      <c r="BE1163" s="186"/>
      <c r="BF1163" s="150"/>
      <c r="BG1163" s="150"/>
    </row>
    <row r="1164" spans="3:59" ht="14.6">
      <c r="C1164" s="289"/>
      <c r="D1164" s="150"/>
      <c r="E1164" s="150"/>
      <c r="F1164" s="150"/>
      <c r="G1164" s="150"/>
      <c r="H1164" s="150"/>
      <c r="I1164" s="150"/>
      <c r="J1164" s="150"/>
      <c r="K1164" s="150"/>
      <c r="L1164" s="150"/>
      <c r="M1164" s="150"/>
      <c r="N1164" s="150"/>
      <c r="O1164" s="150"/>
      <c r="P1164" s="150"/>
      <c r="Q1164" s="150"/>
      <c r="R1164" s="150"/>
      <c r="S1164" s="150"/>
      <c r="T1164" s="186"/>
      <c r="U1164" s="186"/>
      <c r="V1164" s="186"/>
      <c r="W1164" s="186"/>
      <c r="X1164" s="186"/>
      <c r="Y1164" s="186"/>
      <c r="Z1164" s="186"/>
      <c r="AA1164" s="186"/>
      <c r="AB1164" s="186"/>
      <c r="AC1164" s="186"/>
      <c r="AD1164" s="186"/>
      <c r="AF1164" s="150"/>
      <c r="AG1164" s="150"/>
      <c r="AH1164" s="150"/>
      <c r="AI1164" s="150"/>
      <c r="AJ1164" s="150"/>
      <c r="AK1164" s="150"/>
      <c r="AL1164" s="150"/>
      <c r="AM1164" s="150"/>
      <c r="AN1164" s="150"/>
      <c r="AO1164" s="150"/>
      <c r="AP1164" s="150"/>
      <c r="AQ1164" s="150"/>
      <c r="AT1164" s="186"/>
      <c r="AU1164" s="186"/>
      <c r="AV1164" s="186"/>
      <c r="AW1164" s="186"/>
      <c r="AX1164" s="186"/>
      <c r="AY1164" s="186"/>
      <c r="AZ1164" s="186"/>
      <c r="BA1164" s="186"/>
      <c r="BB1164" s="186"/>
      <c r="BC1164" s="186"/>
      <c r="BD1164" s="186"/>
      <c r="BE1164" s="186"/>
      <c r="BF1164" s="150"/>
      <c r="BG1164" s="150"/>
    </row>
    <row r="1165" spans="3:59" ht="14.6">
      <c r="C1165" s="289"/>
      <c r="D1165" s="150"/>
      <c r="E1165" s="150"/>
      <c r="F1165" s="150"/>
      <c r="G1165" s="150"/>
      <c r="H1165" s="150"/>
      <c r="I1165" s="150"/>
      <c r="J1165" s="150"/>
      <c r="K1165" s="150"/>
      <c r="L1165" s="150"/>
      <c r="M1165" s="150"/>
      <c r="N1165" s="150"/>
      <c r="O1165" s="150"/>
      <c r="P1165" s="150"/>
      <c r="Q1165" s="150"/>
      <c r="R1165" s="150"/>
      <c r="S1165" s="150"/>
      <c r="T1165" s="186"/>
      <c r="U1165" s="186"/>
      <c r="V1165" s="186"/>
      <c r="W1165" s="186"/>
      <c r="X1165" s="186"/>
      <c r="Y1165" s="186"/>
      <c r="Z1165" s="186"/>
      <c r="AA1165" s="186"/>
      <c r="AB1165" s="186"/>
      <c r="AC1165" s="186"/>
      <c r="AD1165" s="186"/>
      <c r="AF1165" s="150"/>
      <c r="AG1165" s="150"/>
      <c r="AH1165" s="150"/>
      <c r="AI1165" s="150"/>
      <c r="AJ1165" s="150"/>
      <c r="AK1165" s="150"/>
      <c r="AL1165" s="150"/>
      <c r="AM1165" s="150"/>
      <c r="AN1165" s="150"/>
      <c r="AO1165" s="150"/>
      <c r="AP1165" s="150"/>
      <c r="AQ1165" s="150"/>
      <c r="AT1165" s="186"/>
      <c r="AU1165" s="186"/>
      <c r="AV1165" s="186"/>
      <c r="AW1165" s="186"/>
      <c r="AX1165" s="186"/>
      <c r="AY1165" s="186"/>
      <c r="AZ1165" s="186"/>
      <c r="BA1165" s="186"/>
      <c r="BB1165" s="186"/>
      <c r="BC1165" s="186"/>
      <c r="BD1165" s="186"/>
      <c r="BE1165" s="186"/>
      <c r="BF1165" s="150"/>
      <c r="BG1165" s="150"/>
    </row>
    <row r="1166" spans="3:59" ht="14.6">
      <c r="C1166" s="289"/>
      <c r="D1166" s="150"/>
      <c r="E1166" s="150"/>
      <c r="F1166" s="150"/>
      <c r="G1166" s="150"/>
      <c r="H1166" s="150"/>
      <c r="I1166" s="150"/>
      <c r="J1166" s="150"/>
      <c r="K1166" s="150"/>
      <c r="L1166" s="150"/>
      <c r="M1166" s="150"/>
      <c r="N1166" s="150"/>
      <c r="O1166" s="150"/>
      <c r="P1166" s="150"/>
      <c r="Q1166" s="150"/>
      <c r="R1166" s="150"/>
      <c r="S1166" s="150"/>
      <c r="T1166" s="186"/>
      <c r="U1166" s="186"/>
      <c r="V1166" s="186"/>
      <c r="W1166" s="186"/>
      <c r="X1166" s="186"/>
      <c r="Y1166" s="186"/>
      <c r="Z1166" s="186"/>
      <c r="AA1166" s="186"/>
      <c r="AB1166" s="186"/>
      <c r="AC1166" s="186"/>
      <c r="AD1166" s="186"/>
      <c r="AF1166" s="150"/>
      <c r="AG1166" s="150"/>
      <c r="AH1166" s="150"/>
      <c r="AI1166" s="150"/>
      <c r="AJ1166" s="150"/>
      <c r="AK1166" s="150"/>
      <c r="AL1166" s="150"/>
      <c r="AM1166" s="150"/>
      <c r="AN1166" s="150"/>
      <c r="AO1166" s="150"/>
      <c r="AP1166" s="150"/>
      <c r="AQ1166" s="150"/>
      <c r="AT1166" s="186"/>
      <c r="AU1166" s="186"/>
      <c r="AV1166" s="186"/>
      <c r="AW1166" s="186"/>
      <c r="AX1166" s="186"/>
      <c r="AY1166" s="186"/>
      <c r="AZ1166" s="186"/>
      <c r="BA1166" s="186"/>
      <c r="BB1166" s="186"/>
      <c r="BC1166" s="186"/>
      <c r="BD1166" s="186"/>
      <c r="BE1166" s="186"/>
      <c r="BF1166" s="150"/>
      <c r="BG1166" s="150"/>
    </row>
    <row r="1167" spans="3:59" ht="14.6">
      <c r="C1167" s="289"/>
      <c r="D1167" s="150"/>
      <c r="E1167" s="150"/>
      <c r="F1167" s="150"/>
      <c r="G1167" s="150"/>
      <c r="H1167" s="150"/>
      <c r="I1167" s="150"/>
      <c r="J1167" s="150"/>
      <c r="K1167" s="150"/>
      <c r="L1167" s="150"/>
      <c r="M1167" s="150"/>
      <c r="N1167" s="150"/>
      <c r="O1167" s="150"/>
      <c r="P1167" s="150"/>
      <c r="Q1167" s="150"/>
      <c r="R1167" s="150"/>
      <c r="S1167" s="150"/>
      <c r="T1167" s="186"/>
      <c r="U1167" s="186"/>
      <c r="V1167" s="186"/>
      <c r="W1167" s="186"/>
      <c r="X1167" s="186"/>
      <c r="Y1167" s="186"/>
      <c r="Z1167" s="186"/>
      <c r="AA1167" s="186"/>
      <c r="AB1167" s="186"/>
      <c r="AC1167" s="186"/>
      <c r="AD1167" s="186"/>
      <c r="AF1167" s="150"/>
      <c r="AG1167" s="150"/>
      <c r="AH1167" s="150"/>
      <c r="AI1167" s="150"/>
      <c r="AJ1167" s="150"/>
      <c r="AK1167" s="150"/>
      <c r="AL1167" s="150"/>
      <c r="AM1167" s="150"/>
      <c r="AN1167" s="150"/>
      <c r="AO1167" s="150"/>
      <c r="AP1167" s="150"/>
      <c r="AQ1167" s="150"/>
      <c r="AT1167" s="186"/>
      <c r="AU1167" s="186"/>
      <c r="AV1167" s="186"/>
      <c r="AW1167" s="186"/>
      <c r="AX1167" s="186"/>
      <c r="AY1167" s="186"/>
      <c r="AZ1167" s="186"/>
      <c r="BA1167" s="186"/>
      <c r="BB1167" s="186"/>
      <c r="BC1167" s="186"/>
      <c r="BD1167" s="186"/>
      <c r="BE1167" s="186"/>
      <c r="BF1167" s="150"/>
      <c r="BG1167" s="150"/>
    </row>
    <row r="1168" spans="3:59" ht="14.6">
      <c r="C1168" s="289"/>
      <c r="D1168" s="150"/>
      <c r="E1168" s="150"/>
      <c r="F1168" s="150"/>
      <c r="G1168" s="150"/>
      <c r="H1168" s="150"/>
      <c r="I1168" s="150"/>
      <c r="J1168" s="150"/>
      <c r="K1168" s="150"/>
      <c r="L1168" s="150"/>
      <c r="M1168" s="150"/>
      <c r="N1168" s="150"/>
      <c r="O1168" s="150"/>
      <c r="P1168" s="150"/>
      <c r="Q1168" s="150"/>
      <c r="R1168" s="150"/>
      <c r="S1168" s="150"/>
      <c r="T1168" s="186"/>
      <c r="U1168" s="186"/>
      <c r="V1168" s="186"/>
      <c r="W1168" s="186"/>
      <c r="X1168" s="186"/>
      <c r="Y1168" s="186"/>
      <c r="Z1168" s="186"/>
      <c r="AA1168" s="186"/>
      <c r="AB1168" s="186"/>
      <c r="AC1168" s="186"/>
      <c r="AD1168" s="186"/>
      <c r="AF1168" s="150"/>
      <c r="AG1168" s="150"/>
      <c r="AH1168" s="150"/>
      <c r="AI1168" s="150"/>
      <c r="AJ1168" s="150"/>
      <c r="AK1168" s="150"/>
      <c r="AL1168" s="150"/>
      <c r="AM1168" s="150"/>
      <c r="AN1168" s="150"/>
      <c r="AO1168" s="150"/>
      <c r="AP1168" s="150"/>
      <c r="AQ1168" s="150"/>
      <c r="AT1168" s="186"/>
      <c r="AU1168" s="186"/>
      <c r="AV1168" s="186"/>
      <c r="AW1168" s="186"/>
      <c r="AX1168" s="186"/>
      <c r="AY1168" s="186"/>
      <c r="AZ1168" s="186"/>
      <c r="BA1168" s="186"/>
      <c r="BB1168" s="186"/>
      <c r="BC1168" s="186"/>
      <c r="BD1168" s="186"/>
      <c r="BE1168" s="186"/>
      <c r="BF1168" s="150"/>
      <c r="BG1168" s="150"/>
    </row>
    <row r="1169" spans="3:59" ht="14.6">
      <c r="C1169" s="289"/>
      <c r="D1169" s="150"/>
      <c r="E1169" s="150"/>
      <c r="F1169" s="150"/>
      <c r="G1169" s="150"/>
      <c r="H1169" s="150"/>
      <c r="I1169" s="150"/>
      <c r="J1169" s="150"/>
      <c r="K1169" s="150"/>
      <c r="L1169" s="150"/>
      <c r="M1169" s="150"/>
      <c r="N1169" s="150"/>
      <c r="O1169" s="150"/>
      <c r="P1169" s="150"/>
      <c r="Q1169" s="150"/>
      <c r="R1169" s="150"/>
      <c r="S1169" s="150"/>
      <c r="T1169" s="186"/>
      <c r="U1169" s="186"/>
      <c r="V1169" s="186"/>
      <c r="W1169" s="186"/>
      <c r="X1169" s="186"/>
      <c r="Y1169" s="186"/>
      <c r="Z1169" s="186"/>
      <c r="AA1169" s="186"/>
      <c r="AB1169" s="186"/>
      <c r="AC1169" s="186"/>
      <c r="AD1169" s="186"/>
      <c r="AF1169" s="150"/>
      <c r="AG1169" s="150"/>
      <c r="AH1169" s="150"/>
      <c r="AI1169" s="150"/>
      <c r="AJ1169" s="150"/>
      <c r="AK1169" s="150"/>
      <c r="AL1169" s="150"/>
      <c r="AM1169" s="150"/>
      <c r="AN1169" s="150"/>
      <c r="AO1169" s="150"/>
      <c r="AP1169" s="150"/>
      <c r="AQ1169" s="150"/>
      <c r="AT1169" s="186"/>
      <c r="AU1169" s="186"/>
      <c r="AV1169" s="186"/>
      <c r="AW1169" s="186"/>
      <c r="AX1169" s="186"/>
      <c r="AY1169" s="186"/>
      <c r="AZ1169" s="186"/>
      <c r="BA1169" s="186"/>
      <c r="BB1169" s="186"/>
      <c r="BC1169" s="186"/>
      <c r="BD1169" s="186"/>
      <c r="BE1169" s="186"/>
      <c r="BF1169" s="150"/>
      <c r="BG1169" s="150"/>
    </row>
    <row r="1170" spans="3:59" ht="14.6">
      <c r="C1170" s="289"/>
      <c r="D1170" s="150"/>
      <c r="E1170" s="150"/>
      <c r="F1170" s="150"/>
      <c r="G1170" s="150"/>
      <c r="H1170" s="150"/>
      <c r="I1170" s="150"/>
      <c r="J1170" s="150"/>
      <c r="K1170" s="150"/>
      <c r="L1170" s="150"/>
      <c r="M1170" s="150"/>
      <c r="N1170" s="150"/>
      <c r="O1170" s="150"/>
      <c r="P1170" s="150"/>
      <c r="Q1170" s="150"/>
      <c r="R1170" s="150"/>
      <c r="S1170" s="150"/>
      <c r="T1170" s="186"/>
      <c r="U1170" s="186"/>
      <c r="V1170" s="186"/>
      <c r="W1170" s="186"/>
      <c r="X1170" s="186"/>
      <c r="Y1170" s="186"/>
      <c r="Z1170" s="186"/>
      <c r="AA1170" s="186"/>
      <c r="AB1170" s="186"/>
      <c r="AC1170" s="186"/>
      <c r="AD1170" s="186"/>
      <c r="AF1170" s="150"/>
      <c r="AG1170" s="150"/>
      <c r="AH1170" s="150"/>
      <c r="AI1170" s="150"/>
      <c r="AJ1170" s="150"/>
      <c r="AK1170" s="150"/>
      <c r="AL1170" s="150"/>
      <c r="AM1170" s="150"/>
      <c r="AN1170" s="150"/>
      <c r="AO1170" s="150"/>
      <c r="AP1170" s="150"/>
      <c r="AQ1170" s="150"/>
      <c r="AT1170" s="186"/>
      <c r="AU1170" s="186"/>
      <c r="AV1170" s="186"/>
      <c r="AW1170" s="186"/>
      <c r="AX1170" s="186"/>
      <c r="AY1170" s="186"/>
      <c r="AZ1170" s="186"/>
      <c r="BA1170" s="186"/>
      <c r="BB1170" s="186"/>
      <c r="BC1170" s="186"/>
      <c r="BD1170" s="186"/>
      <c r="BE1170" s="186"/>
      <c r="BF1170" s="150"/>
      <c r="BG1170" s="150"/>
    </row>
    <row r="1171" spans="3:59" ht="14.6">
      <c r="C1171" s="289"/>
      <c r="D1171" s="150"/>
      <c r="E1171" s="150"/>
      <c r="F1171" s="150"/>
      <c r="G1171" s="150"/>
      <c r="H1171" s="150"/>
      <c r="I1171" s="150"/>
      <c r="J1171" s="150"/>
      <c r="K1171" s="150"/>
      <c r="L1171" s="150"/>
      <c r="M1171" s="150"/>
      <c r="N1171" s="150"/>
      <c r="O1171" s="150"/>
      <c r="P1171" s="150"/>
      <c r="Q1171" s="150"/>
      <c r="R1171" s="150"/>
      <c r="S1171" s="150"/>
      <c r="T1171" s="186"/>
      <c r="U1171" s="186"/>
      <c r="V1171" s="186"/>
      <c r="W1171" s="186"/>
      <c r="X1171" s="186"/>
      <c r="Y1171" s="186"/>
      <c r="Z1171" s="186"/>
      <c r="AA1171" s="186"/>
      <c r="AB1171" s="186"/>
      <c r="AC1171" s="186"/>
      <c r="AD1171" s="186"/>
      <c r="AF1171" s="150"/>
      <c r="AG1171" s="150"/>
      <c r="AH1171" s="150"/>
      <c r="AI1171" s="150"/>
      <c r="AJ1171" s="150"/>
      <c r="AK1171" s="150"/>
      <c r="AL1171" s="150"/>
      <c r="AM1171" s="150"/>
      <c r="AN1171" s="150"/>
      <c r="AO1171" s="150"/>
      <c r="AP1171" s="150"/>
      <c r="AQ1171" s="150"/>
      <c r="AT1171" s="186"/>
      <c r="AU1171" s="186"/>
      <c r="AV1171" s="186"/>
      <c r="AW1171" s="186"/>
      <c r="AX1171" s="186"/>
      <c r="AY1171" s="186"/>
      <c r="AZ1171" s="186"/>
      <c r="BA1171" s="186"/>
      <c r="BB1171" s="186"/>
      <c r="BC1171" s="186"/>
      <c r="BD1171" s="186"/>
      <c r="BE1171" s="186"/>
      <c r="BF1171" s="150"/>
      <c r="BG1171" s="150"/>
    </row>
    <row r="1172" spans="3:59" ht="14.6">
      <c r="C1172" s="289"/>
      <c r="D1172" s="150"/>
      <c r="E1172" s="150"/>
      <c r="F1172" s="150"/>
      <c r="G1172" s="150"/>
      <c r="H1172" s="150"/>
      <c r="I1172" s="150"/>
      <c r="J1172" s="150"/>
      <c r="K1172" s="150"/>
      <c r="L1172" s="150"/>
      <c r="M1172" s="150"/>
      <c r="N1172" s="150"/>
      <c r="O1172" s="150"/>
      <c r="P1172" s="150"/>
      <c r="Q1172" s="150"/>
      <c r="R1172" s="150"/>
      <c r="S1172" s="150"/>
      <c r="T1172" s="186"/>
      <c r="U1172" s="186"/>
      <c r="V1172" s="186"/>
      <c r="W1172" s="186"/>
      <c r="X1172" s="186"/>
      <c r="Y1172" s="186"/>
      <c r="Z1172" s="186"/>
      <c r="AA1172" s="186"/>
      <c r="AB1172" s="186"/>
      <c r="AC1172" s="186"/>
      <c r="AD1172" s="186"/>
      <c r="AF1172" s="150"/>
      <c r="AG1172" s="150"/>
      <c r="AH1172" s="150"/>
      <c r="AI1172" s="150"/>
      <c r="AJ1172" s="150"/>
      <c r="AK1172" s="150"/>
      <c r="AL1172" s="150"/>
      <c r="AM1172" s="150"/>
      <c r="AN1172" s="150"/>
      <c r="AO1172" s="150"/>
      <c r="AP1172" s="150"/>
      <c r="AQ1172" s="150"/>
      <c r="AT1172" s="186"/>
      <c r="AU1172" s="186"/>
      <c r="AV1172" s="186"/>
      <c r="AW1172" s="186"/>
      <c r="AX1172" s="186"/>
      <c r="AY1172" s="186"/>
      <c r="AZ1172" s="186"/>
      <c r="BA1172" s="186"/>
      <c r="BB1172" s="186"/>
      <c r="BC1172" s="186"/>
      <c r="BD1172" s="186"/>
      <c r="BE1172" s="186"/>
      <c r="BF1172" s="150"/>
      <c r="BG1172" s="150"/>
    </row>
    <row r="1173" spans="3:59" ht="14.6">
      <c r="C1173" s="289"/>
      <c r="D1173" s="150"/>
      <c r="E1173" s="150"/>
      <c r="F1173" s="150"/>
      <c r="G1173" s="150"/>
      <c r="H1173" s="150"/>
      <c r="I1173" s="150"/>
      <c r="J1173" s="150"/>
      <c r="K1173" s="150"/>
      <c r="L1173" s="150"/>
      <c r="M1173" s="150"/>
      <c r="N1173" s="150"/>
      <c r="O1173" s="150"/>
      <c r="P1173" s="150"/>
      <c r="Q1173" s="150"/>
      <c r="R1173" s="150"/>
      <c r="S1173" s="150"/>
      <c r="T1173" s="186"/>
      <c r="U1173" s="186"/>
      <c r="V1173" s="186"/>
      <c r="W1173" s="186"/>
      <c r="X1173" s="186"/>
      <c r="Y1173" s="186"/>
      <c r="Z1173" s="186"/>
      <c r="AA1173" s="186"/>
      <c r="AB1173" s="186"/>
      <c r="AC1173" s="186"/>
      <c r="AD1173" s="186"/>
      <c r="AF1173" s="150"/>
      <c r="AG1173" s="150"/>
      <c r="AH1173" s="150"/>
      <c r="AI1173" s="150"/>
      <c r="AJ1173" s="150"/>
      <c r="AK1173" s="150"/>
      <c r="AL1173" s="150"/>
      <c r="AM1173" s="150"/>
      <c r="AN1173" s="150"/>
      <c r="AO1173" s="150"/>
      <c r="AP1173" s="150"/>
      <c r="AQ1173" s="150"/>
      <c r="AT1173" s="186"/>
      <c r="AU1173" s="186"/>
      <c r="AV1173" s="186"/>
      <c r="AW1173" s="186"/>
      <c r="AX1173" s="186"/>
      <c r="AY1173" s="186"/>
      <c r="AZ1173" s="186"/>
      <c r="BA1173" s="186"/>
      <c r="BB1173" s="186"/>
      <c r="BC1173" s="186"/>
      <c r="BD1173" s="186"/>
      <c r="BE1173" s="186"/>
      <c r="BF1173" s="150"/>
      <c r="BG1173" s="150"/>
    </row>
    <row r="1174" spans="3:59" ht="14.6">
      <c r="C1174" s="289"/>
      <c r="D1174" s="150"/>
      <c r="E1174" s="150"/>
      <c r="F1174" s="150"/>
      <c r="G1174" s="150"/>
      <c r="H1174" s="150"/>
      <c r="I1174" s="150"/>
      <c r="J1174" s="150"/>
      <c r="K1174" s="150"/>
      <c r="L1174" s="150"/>
      <c r="M1174" s="150"/>
      <c r="N1174" s="150"/>
      <c r="O1174" s="150"/>
      <c r="P1174" s="150"/>
      <c r="Q1174" s="150"/>
      <c r="R1174" s="150"/>
      <c r="S1174" s="150"/>
      <c r="T1174" s="186"/>
      <c r="U1174" s="186"/>
      <c r="V1174" s="186"/>
      <c r="W1174" s="186"/>
      <c r="X1174" s="186"/>
      <c r="Y1174" s="186"/>
      <c r="Z1174" s="186"/>
      <c r="AA1174" s="186"/>
      <c r="AB1174" s="186"/>
      <c r="AC1174" s="186"/>
      <c r="AD1174" s="186"/>
      <c r="AF1174" s="150"/>
      <c r="AG1174" s="150"/>
      <c r="AH1174" s="150"/>
      <c r="AI1174" s="150"/>
      <c r="AJ1174" s="150"/>
      <c r="AK1174" s="150"/>
      <c r="AL1174" s="150"/>
      <c r="AM1174" s="150"/>
      <c r="AN1174" s="150"/>
      <c r="AO1174" s="150"/>
      <c r="AP1174" s="150"/>
      <c r="AQ1174" s="150"/>
      <c r="AT1174" s="186"/>
      <c r="AU1174" s="186"/>
      <c r="AV1174" s="186"/>
      <c r="AW1174" s="186"/>
      <c r="AX1174" s="186"/>
      <c r="AY1174" s="186"/>
      <c r="AZ1174" s="186"/>
      <c r="BA1174" s="186"/>
      <c r="BB1174" s="186"/>
      <c r="BC1174" s="186"/>
      <c r="BD1174" s="186"/>
      <c r="BE1174" s="186"/>
      <c r="BF1174" s="150"/>
      <c r="BG1174" s="150"/>
    </row>
    <row r="1175" spans="3:59" ht="14.6">
      <c r="C1175" s="289"/>
      <c r="D1175" s="150"/>
      <c r="E1175" s="150"/>
      <c r="F1175" s="150"/>
      <c r="G1175" s="150"/>
      <c r="H1175" s="150"/>
      <c r="I1175" s="150"/>
      <c r="J1175" s="150"/>
      <c r="K1175" s="150"/>
      <c r="L1175" s="150"/>
      <c r="M1175" s="150"/>
      <c r="N1175" s="150"/>
      <c r="O1175" s="150"/>
      <c r="P1175" s="150"/>
      <c r="Q1175" s="150"/>
      <c r="R1175" s="150"/>
      <c r="S1175" s="150"/>
      <c r="T1175" s="186"/>
      <c r="U1175" s="186"/>
      <c r="V1175" s="186"/>
      <c r="W1175" s="186"/>
      <c r="X1175" s="186"/>
      <c r="Y1175" s="186"/>
      <c r="Z1175" s="186"/>
      <c r="AA1175" s="186"/>
      <c r="AB1175" s="186"/>
      <c r="AC1175" s="186"/>
      <c r="AD1175" s="186"/>
      <c r="AF1175" s="150"/>
      <c r="AG1175" s="150"/>
      <c r="AH1175" s="150"/>
      <c r="AI1175" s="150"/>
      <c r="AJ1175" s="150"/>
      <c r="AK1175" s="150"/>
      <c r="AL1175" s="150"/>
      <c r="AM1175" s="150"/>
      <c r="AN1175" s="150"/>
      <c r="AO1175" s="150"/>
      <c r="AP1175" s="150"/>
      <c r="AQ1175" s="150"/>
      <c r="AT1175" s="186"/>
      <c r="AU1175" s="186"/>
      <c r="AV1175" s="186"/>
      <c r="AW1175" s="186"/>
      <c r="AX1175" s="186"/>
      <c r="AY1175" s="186"/>
      <c r="AZ1175" s="186"/>
      <c r="BA1175" s="186"/>
      <c r="BB1175" s="186"/>
      <c r="BC1175" s="186"/>
      <c r="BD1175" s="186"/>
      <c r="BE1175" s="186"/>
      <c r="BF1175" s="150"/>
      <c r="BG1175" s="150"/>
    </row>
    <row r="1176" spans="3:59" ht="14.6">
      <c r="C1176" s="289"/>
      <c r="D1176" s="150"/>
      <c r="E1176" s="150"/>
      <c r="F1176" s="150"/>
      <c r="G1176" s="150"/>
      <c r="H1176" s="150"/>
      <c r="I1176" s="150"/>
      <c r="J1176" s="150"/>
      <c r="K1176" s="150"/>
      <c r="L1176" s="150"/>
      <c r="M1176" s="150"/>
      <c r="N1176" s="150"/>
      <c r="O1176" s="150"/>
      <c r="P1176" s="150"/>
      <c r="Q1176" s="150"/>
      <c r="R1176" s="150"/>
      <c r="S1176" s="150"/>
      <c r="T1176" s="186"/>
      <c r="U1176" s="186"/>
      <c r="V1176" s="186"/>
      <c r="W1176" s="186"/>
      <c r="X1176" s="186"/>
      <c r="Y1176" s="186"/>
      <c r="Z1176" s="186"/>
      <c r="AA1176" s="186"/>
      <c r="AB1176" s="186"/>
      <c r="AC1176" s="186"/>
      <c r="AD1176" s="186"/>
      <c r="AF1176" s="150"/>
      <c r="AG1176" s="150"/>
      <c r="AH1176" s="150"/>
      <c r="AI1176" s="150"/>
      <c r="AJ1176" s="150"/>
      <c r="AK1176" s="150"/>
      <c r="AL1176" s="150"/>
      <c r="AM1176" s="150"/>
      <c r="AN1176" s="150"/>
      <c r="AO1176" s="150"/>
      <c r="AP1176" s="150"/>
      <c r="AQ1176" s="150"/>
      <c r="AT1176" s="186"/>
      <c r="AU1176" s="186"/>
      <c r="AV1176" s="186"/>
      <c r="AW1176" s="186"/>
      <c r="AX1176" s="186"/>
      <c r="AY1176" s="186"/>
      <c r="AZ1176" s="186"/>
      <c r="BA1176" s="186"/>
      <c r="BB1176" s="186"/>
      <c r="BC1176" s="186"/>
      <c r="BD1176" s="186"/>
      <c r="BE1176" s="186"/>
      <c r="BF1176" s="150"/>
      <c r="BG1176" s="150"/>
    </row>
    <row r="1177" spans="3:59" ht="14.6">
      <c r="C1177" s="289"/>
      <c r="D1177" s="150"/>
      <c r="E1177" s="150"/>
      <c r="F1177" s="150"/>
      <c r="G1177" s="150"/>
      <c r="H1177" s="150"/>
      <c r="I1177" s="150"/>
      <c r="J1177" s="150"/>
      <c r="K1177" s="150"/>
      <c r="L1177" s="150"/>
      <c r="M1177" s="150"/>
      <c r="N1177" s="150"/>
      <c r="O1177" s="150"/>
      <c r="P1177" s="150"/>
      <c r="Q1177" s="150"/>
      <c r="R1177" s="150"/>
      <c r="S1177" s="150"/>
      <c r="T1177" s="186"/>
      <c r="U1177" s="186"/>
      <c r="V1177" s="186"/>
      <c r="W1177" s="186"/>
      <c r="X1177" s="186"/>
      <c r="Y1177" s="186"/>
      <c r="Z1177" s="186"/>
      <c r="AA1177" s="186"/>
      <c r="AB1177" s="186"/>
      <c r="AC1177" s="186"/>
      <c r="AD1177" s="186"/>
      <c r="AF1177" s="150"/>
      <c r="AG1177" s="150"/>
      <c r="AH1177" s="150"/>
      <c r="AI1177" s="150"/>
      <c r="AJ1177" s="150"/>
      <c r="AK1177" s="150"/>
      <c r="AL1177" s="150"/>
      <c r="AM1177" s="150"/>
      <c r="AN1177" s="150"/>
      <c r="AO1177" s="150"/>
      <c r="AP1177" s="150"/>
      <c r="AQ1177" s="150"/>
      <c r="AT1177" s="186"/>
      <c r="AU1177" s="186"/>
      <c r="AV1177" s="186"/>
      <c r="AW1177" s="186"/>
      <c r="AX1177" s="186"/>
      <c r="AY1177" s="186"/>
      <c r="AZ1177" s="186"/>
      <c r="BA1177" s="186"/>
      <c r="BB1177" s="186"/>
      <c r="BC1177" s="186"/>
      <c r="BD1177" s="186"/>
      <c r="BE1177" s="186"/>
      <c r="BF1177" s="150"/>
      <c r="BG1177" s="150"/>
    </row>
    <row r="1178" spans="3:59" ht="14.6">
      <c r="C1178" s="289"/>
      <c r="D1178" s="150"/>
      <c r="E1178" s="150"/>
      <c r="F1178" s="150"/>
      <c r="G1178" s="150"/>
      <c r="H1178" s="150"/>
      <c r="I1178" s="150"/>
      <c r="J1178" s="150"/>
      <c r="K1178" s="150"/>
      <c r="L1178" s="150"/>
      <c r="M1178" s="150"/>
      <c r="N1178" s="150"/>
      <c r="O1178" s="150"/>
      <c r="P1178" s="150"/>
      <c r="Q1178" s="150"/>
      <c r="R1178" s="150"/>
      <c r="S1178" s="150"/>
      <c r="T1178" s="186"/>
      <c r="U1178" s="186"/>
      <c r="V1178" s="186"/>
      <c r="W1178" s="186"/>
      <c r="X1178" s="186"/>
      <c r="Y1178" s="186"/>
      <c r="Z1178" s="186"/>
      <c r="AA1178" s="186"/>
      <c r="AB1178" s="186"/>
      <c r="AC1178" s="186"/>
      <c r="AD1178" s="186"/>
      <c r="AF1178" s="150"/>
      <c r="AG1178" s="150"/>
      <c r="AH1178" s="150"/>
      <c r="AI1178" s="150"/>
      <c r="AJ1178" s="150"/>
      <c r="AK1178" s="150"/>
      <c r="AL1178" s="150"/>
      <c r="AM1178" s="150"/>
      <c r="AN1178" s="150"/>
      <c r="AO1178" s="150"/>
      <c r="AP1178" s="150"/>
      <c r="AQ1178" s="150"/>
      <c r="AT1178" s="186"/>
      <c r="AU1178" s="186"/>
      <c r="AV1178" s="186"/>
      <c r="AW1178" s="186"/>
      <c r="AX1178" s="186"/>
      <c r="AY1178" s="186"/>
      <c r="AZ1178" s="186"/>
      <c r="BA1178" s="186"/>
      <c r="BB1178" s="186"/>
      <c r="BC1178" s="186"/>
      <c r="BD1178" s="186"/>
      <c r="BE1178" s="186"/>
      <c r="BF1178" s="150"/>
      <c r="BG1178" s="150"/>
    </row>
    <row r="1179" spans="3:59" ht="14.6">
      <c r="C1179" s="289"/>
      <c r="D1179" s="150"/>
      <c r="E1179" s="150"/>
      <c r="F1179" s="150"/>
      <c r="G1179" s="150"/>
      <c r="H1179" s="150"/>
      <c r="I1179" s="150"/>
      <c r="J1179" s="150"/>
      <c r="K1179" s="150"/>
      <c r="L1179" s="150"/>
      <c r="M1179" s="150"/>
      <c r="N1179" s="150"/>
      <c r="O1179" s="150"/>
      <c r="P1179" s="150"/>
      <c r="Q1179" s="150"/>
      <c r="R1179" s="150"/>
      <c r="S1179" s="150"/>
      <c r="T1179" s="186"/>
      <c r="U1179" s="186"/>
      <c r="V1179" s="186"/>
      <c r="W1179" s="186"/>
      <c r="X1179" s="186"/>
      <c r="Y1179" s="186"/>
      <c r="Z1179" s="186"/>
      <c r="AA1179" s="186"/>
      <c r="AB1179" s="186"/>
      <c r="AC1179" s="186"/>
      <c r="AD1179" s="186"/>
      <c r="AF1179" s="150"/>
      <c r="AG1179" s="150"/>
      <c r="AH1179" s="150"/>
      <c r="AI1179" s="150"/>
      <c r="AJ1179" s="150"/>
      <c r="AK1179" s="150"/>
      <c r="AL1179" s="150"/>
      <c r="AM1179" s="150"/>
      <c r="AN1179" s="150"/>
      <c r="AO1179" s="150"/>
      <c r="AP1179" s="150"/>
      <c r="AQ1179" s="150"/>
      <c r="AT1179" s="186"/>
      <c r="AU1179" s="186"/>
      <c r="AV1179" s="186"/>
      <c r="AW1179" s="186"/>
      <c r="AX1179" s="186"/>
      <c r="AY1179" s="186"/>
      <c r="AZ1179" s="186"/>
      <c r="BA1179" s="186"/>
      <c r="BB1179" s="186"/>
      <c r="BC1179" s="186"/>
      <c r="BD1179" s="186"/>
      <c r="BE1179" s="186"/>
      <c r="BF1179" s="150"/>
      <c r="BG1179" s="150"/>
    </row>
    <row r="1180" spans="3:59" ht="14.6">
      <c r="C1180" s="289"/>
      <c r="D1180" s="150"/>
      <c r="E1180" s="150"/>
      <c r="F1180" s="150"/>
      <c r="G1180" s="150"/>
      <c r="H1180" s="150"/>
      <c r="I1180" s="150"/>
      <c r="J1180" s="150"/>
      <c r="K1180" s="150"/>
      <c r="L1180" s="150"/>
      <c r="M1180" s="150"/>
      <c r="N1180" s="150"/>
      <c r="O1180" s="150"/>
      <c r="P1180" s="150"/>
      <c r="Q1180" s="150"/>
      <c r="R1180" s="150"/>
      <c r="S1180" s="150"/>
      <c r="T1180" s="186"/>
      <c r="U1180" s="186"/>
      <c r="V1180" s="186"/>
      <c r="W1180" s="186"/>
      <c r="X1180" s="186"/>
      <c r="Y1180" s="186"/>
      <c r="Z1180" s="186"/>
      <c r="AA1180" s="186"/>
      <c r="AB1180" s="186"/>
      <c r="AC1180" s="186"/>
      <c r="AD1180" s="186"/>
      <c r="AF1180" s="150"/>
      <c r="AG1180" s="150"/>
      <c r="AH1180" s="150"/>
      <c r="AI1180" s="150"/>
      <c r="AJ1180" s="150"/>
      <c r="AK1180" s="150"/>
      <c r="AL1180" s="150"/>
      <c r="AM1180" s="150"/>
      <c r="AN1180" s="150"/>
      <c r="AO1180" s="150"/>
      <c r="AP1180" s="150"/>
      <c r="AQ1180" s="150"/>
      <c r="AT1180" s="186"/>
      <c r="AU1180" s="186"/>
      <c r="AV1180" s="186"/>
      <c r="AW1180" s="186"/>
      <c r="AX1180" s="186"/>
      <c r="AY1180" s="186"/>
      <c r="AZ1180" s="186"/>
      <c r="BA1180" s="186"/>
      <c r="BB1180" s="186"/>
      <c r="BC1180" s="186"/>
      <c r="BD1180" s="186"/>
      <c r="BE1180" s="186"/>
      <c r="BF1180" s="150"/>
      <c r="BG1180" s="150"/>
    </row>
    <row r="1181" spans="3:59" ht="14.6">
      <c r="C1181" s="289"/>
      <c r="D1181" s="150"/>
      <c r="E1181" s="150"/>
      <c r="F1181" s="150"/>
      <c r="G1181" s="150"/>
      <c r="H1181" s="150"/>
      <c r="I1181" s="150"/>
      <c r="J1181" s="150"/>
      <c r="K1181" s="150"/>
      <c r="L1181" s="150"/>
      <c r="M1181" s="150"/>
      <c r="N1181" s="150"/>
      <c r="O1181" s="150"/>
      <c r="P1181" s="150"/>
      <c r="Q1181" s="150"/>
      <c r="R1181" s="150"/>
      <c r="S1181" s="150"/>
      <c r="T1181" s="186"/>
      <c r="U1181" s="186"/>
      <c r="V1181" s="186"/>
      <c r="W1181" s="186"/>
      <c r="X1181" s="186"/>
      <c r="Y1181" s="186"/>
      <c r="Z1181" s="186"/>
      <c r="AA1181" s="186"/>
      <c r="AB1181" s="186"/>
      <c r="AC1181" s="186"/>
      <c r="AD1181" s="186"/>
      <c r="AF1181" s="150"/>
      <c r="AG1181" s="150"/>
      <c r="AH1181" s="150"/>
      <c r="AI1181" s="150"/>
      <c r="AJ1181" s="150"/>
      <c r="AK1181" s="150"/>
      <c r="AL1181" s="150"/>
      <c r="AM1181" s="150"/>
      <c r="AN1181" s="150"/>
      <c r="AO1181" s="150"/>
      <c r="AP1181" s="150"/>
      <c r="AQ1181" s="150"/>
      <c r="AT1181" s="186"/>
      <c r="AU1181" s="186"/>
      <c r="AV1181" s="186"/>
      <c r="AW1181" s="186"/>
      <c r="AX1181" s="186"/>
      <c r="AY1181" s="186"/>
      <c r="AZ1181" s="186"/>
      <c r="BA1181" s="186"/>
      <c r="BB1181" s="186"/>
      <c r="BC1181" s="186"/>
      <c r="BD1181" s="186"/>
      <c r="BE1181" s="186"/>
      <c r="BF1181" s="150"/>
      <c r="BG1181" s="150"/>
    </row>
    <row r="1182" spans="3:59" ht="14.6">
      <c r="C1182" s="289"/>
      <c r="D1182" s="150"/>
      <c r="E1182" s="150"/>
      <c r="F1182" s="150"/>
      <c r="G1182" s="150"/>
      <c r="H1182" s="150"/>
      <c r="I1182" s="150"/>
      <c r="J1182" s="150"/>
      <c r="K1182" s="150"/>
      <c r="L1182" s="150"/>
      <c r="M1182" s="150"/>
      <c r="N1182" s="150"/>
      <c r="O1182" s="150"/>
      <c r="P1182" s="150"/>
      <c r="Q1182" s="150"/>
      <c r="R1182" s="150"/>
      <c r="S1182" s="150"/>
      <c r="T1182" s="186"/>
      <c r="U1182" s="186"/>
      <c r="V1182" s="186"/>
      <c r="W1182" s="186"/>
      <c r="X1182" s="186"/>
      <c r="Y1182" s="186"/>
      <c r="Z1182" s="186"/>
      <c r="AA1182" s="186"/>
      <c r="AB1182" s="186"/>
      <c r="AC1182" s="186"/>
      <c r="AD1182" s="186"/>
      <c r="AF1182" s="150"/>
      <c r="AG1182" s="150"/>
      <c r="AH1182" s="150"/>
      <c r="AI1182" s="150"/>
      <c r="AJ1182" s="150"/>
      <c r="AK1182" s="150"/>
      <c r="AL1182" s="150"/>
      <c r="AM1182" s="150"/>
      <c r="AN1182" s="150"/>
      <c r="AO1182" s="150"/>
      <c r="AP1182" s="150"/>
      <c r="AQ1182" s="150"/>
      <c r="AT1182" s="186"/>
      <c r="AU1182" s="186"/>
      <c r="AV1182" s="186"/>
      <c r="AW1182" s="186"/>
      <c r="AX1182" s="186"/>
      <c r="AY1182" s="186"/>
      <c r="AZ1182" s="186"/>
      <c r="BA1182" s="186"/>
      <c r="BB1182" s="186"/>
      <c r="BC1182" s="186"/>
      <c r="BD1182" s="186"/>
      <c r="BE1182" s="186"/>
      <c r="BF1182" s="150"/>
      <c r="BG1182" s="150"/>
    </row>
    <row r="1183" spans="3:59" ht="14.6">
      <c r="C1183" s="289"/>
      <c r="D1183" s="150"/>
      <c r="E1183" s="150"/>
      <c r="F1183" s="150"/>
      <c r="G1183" s="150"/>
      <c r="H1183" s="150"/>
      <c r="I1183" s="150"/>
      <c r="J1183" s="150"/>
      <c r="K1183" s="150"/>
      <c r="L1183" s="150"/>
      <c r="M1183" s="150"/>
      <c r="N1183" s="150"/>
      <c r="O1183" s="150"/>
      <c r="P1183" s="150"/>
      <c r="Q1183" s="150"/>
      <c r="R1183" s="150"/>
      <c r="S1183" s="150"/>
      <c r="T1183" s="186"/>
      <c r="U1183" s="186"/>
      <c r="V1183" s="186"/>
      <c r="W1183" s="186"/>
      <c r="X1183" s="186"/>
      <c r="Y1183" s="186"/>
      <c r="Z1183" s="186"/>
      <c r="AA1183" s="186"/>
      <c r="AB1183" s="186"/>
      <c r="AC1183" s="186"/>
      <c r="AD1183" s="186"/>
      <c r="AF1183" s="150"/>
      <c r="AG1183" s="150"/>
      <c r="AH1183" s="150"/>
      <c r="AI1183" s="150"/>
      <c r="AJ1183" s="150"/>
      <c r="AK1183" s="150"/>
      <c r="AL1183" s="150"/>
      <c r="AM1183" s="150"/>
      <c r="AN1183" s="150"/>
      <c r="AO1183" s="150"/>
      <c r="AP1183" s="150"/>
      <c r="AQ1183" s="150"/>
      <c r="AT1183" s="186"/>
      <c r="AU1183" s="186"/>
      <c r="AV1183" s="186"/>
      <c r="AW1183" s="186"/>
      <c r="AX1183" s="186"/>
      <c r="AY1183" s="186"/>
      <c r="AZ1183" s="186"/>
      <c r="BA1183" s="186"/>
      <c r="BB1183" s="186"/>
      <c r="BC1183" s="186"/>
      <c r="BD1183" s="186"/>
      <c r="BE1183" s="186"/>
      <c r="BF1183" s="150"/>
      <c r="BG1183" s="150"/>
    </row>
    <row r="1184" spans="3:59" ht="14.6">
      <c r="C1184" s="289"/>
      <c r="D1184" s="150"/>
      <c r="E1184" s="150"/>
      <c r="F1184" s="150"/>
      <c r="G1184" s="150"/>
      <c r="H1184" s="150"/>
      <c r="I1184" s="150"/>
      <c r="J1184" s="150"/>
      <c r="K1184" s="150"/>
      <c r="L1184" s="150"/>
      <c r="M1184" s="150"/>
      <c r="N1184" s="150"/>
      <c r="O1184" s="150"/>
      <c r="P1184" s="150"/>
      <c r="Q1184" s="150"/>
      <c r="R1184" s="150"/>
      <c r="S1184" s="150"/>
      <c r="T1184" s="186"/>
      <c r="U1184" s="186"/>
      <c r="V1184" s="186"/>
      <c r="W1184" s="186"/>
      <c r="X1184" s="186"/>
      <c r="Y1184" s="186"/>
      <c r="Z1184" s="186"/>
      <c r="AA1184" s="186"/>
      <c r="AB1184" s="186"/>
      <c r="AC1184" s="186"/>
      <c r="AD1184" s="186"/>
      <c r="AF1184" s="150"/>
      <c r="AG1184" s="150"/>
      <c r="AH1184" s="150"/>
      <c r="AI1184" s="150"/>
      <c r="AJ1184" s="150"/>
      <c r="AK1184" s="150"/>
      <c r="AL1184" s="150"/>
      <c r="AM1184" s="150"/>
      <c r="AN1184" s="150"/>
      <c r="AO1184" s="150"/>
      <c r="AP1184" s="150"/>
      <c r="AQ1184" s="150"/>
      <c r="AT1184" s="186"/>
      <c r="AU1184" s="186"/>
      <c r="AV1184" s="186"/>
      <c r="AW1184" s="186"/>
      <c r="AX1184" s="186"/>
      <c r="AY1184" s="186"/>
      <c r="AZ1184" s="186"/>
      <c r="BA1184" s="186"/>
      <c r="BB1184" s="186"/>
      <c r="BC1184" s="186"/>
      <c r="BD1184" s="186"/>
      <c r="BE1184" s="186"/>
      <c r="BF1184" s="150"/>
      <c r="BG1184" s="150"/>
    </row>
    <row r="1185" spans="3:59" ht="14.6">
      <c r="C1185" s="289"/>
      <c r="D1185" s="150"/>
      <c r="E1185" s="150"/>
      <c r="F1185" s="150"/>
      <c r="G1185" s="150"/>
      <c r="H1185" s="150"/>
      <c r="I1185" s="150"/>
      <c r="J1185" s="150"/>
      <c r="K1185" s="150"/>
      <c r="L1185" s="150"/>
      <c r="M1185" s="150"/>
      <c r="N1185" s="150"/>
      <c r="O1185" s="150"/>
      <c r="P1185" s="150"/>
      <c r="Q1185" s="150"/>
      <c r="R1185" s="150"/>
      <c r="S1185" s="150"/>
      <c r="T1185" s="186"/>
      <c r="U1185" s="186"/>
      <c r="V1185" s="186"/>
      <c r="W1185" s="186"/>
      <c r="X1185" s="186"/>
      <c r="Y1185" s="186"/>
      <c r="Z1185" s="186"/>
      <c r="AA1185" s="186"/>
      <c r="AB1185" s="186"/>
      <c r="AC1185" s="186"/>
      <c r="AD1185" s="186"/>
      <c r="AF1185" s="150"/>
      <c r="AG1185" s="150"/>
      <c r="AH1185" s="150"/>
      <c r="AI1185" s="150"/>
      <c r="AJ1185" s="150"/>
      <c r="AK1185" s="150"/>
      <c r="AL1185" s="150"/>
      <c r="AM1185" s="150"/>
      <c r="AN1185" s="150"/>
      <c r="AO1185" s="150"/>
      <c r="AP1185" s="150"/>
      <c r="AQ1185" s="150"/>
      <c r="AT1185" s="186"/>
      <c r="AU1185" s="186"/>
      <c r="AV1185" s="186"/>
      <c r="AW1185" s="186"/>
      <c r="AX1185" s="186"/>
      <c r="AY1185" s="186"/>
      <c r="AZ1185" s="186"/>
      <c r="BA1185" s="186"/>
      <c r="BB1185" s="186"/>
      <c r="BC1185" s="186"/>
      <c r="BD1185" s="186"/>
      <c r="BE1185" s="186"/>
      <c r="BF1185" s="150"/>
      <c r="BG1185" s="150"/>
    </row>
    <row r="1186" spans="3:59" ht="14.6">
      <c r="C1186" s="289"/>
      <c r="D1186" s="150"/>
      <c r="E1186" s="150"/>
      <c r="F1186" s="150"/>
      <c r="G1186" s="150"/>
      <c r="H1186" s="150"/>
      <c r="I1186" s="150"/>
      <c r="J1186" s="150"/>
      <c r="K1186" s="150"/>
      <c r="L1186" s="150"/>
      <c r="M1186" s="150"/>
      <c r="N1186" s="150"/>
      <c r="O1186" s="150"/>
      <c r="P1186" s="150"/>
      <c r="Q1186" s="150"/>
      <c r="R1186" s="150"/>
      <c r="S1186" s="150"/>
      <c r="T1186" s="186"/>
      <c r="U1186" s="186"/>
      <c r="V1186" s="186"/>
      <c r="W1186" s="186"/>
      <c r="X1186" s="186"/>
      <c r="Y1186" s="186"/>
      <c r="Z1186" s="186"/>
      <c r="AA1186" s="186"/>
      <c r="AB1186" s="186"/>
      <c r="AC1186" s="186"/>
      <c r="AD1186" s="186"/>
      <c r="AF1186" s="150"/>
      <c r="AG1186" s="150"/>
      <c r="AH1186" s="150"/>
      <c r="AI1186" s="150"/>
      <c r="AJ1186" s="150"/>
      <c r="AK1186" s="150"/>
      <c r="AL1186" s="150"/>
      <c r="AM1186" s="150"/>
      <c r="AN1186" s="150"/>
      <c r="AO1186" s="150"/>
      <c r="AP1186" s="150"/>
      <c r="AQ1186" s="150"/>
      <c r="AT1186" s="186"/>
      <c r="AU1186" s="186"/>
      <c r="AV1186" s="186"/>
      <c r="AW1186" s="186"/>
      <c r="AX1186" s="186"/>
      <c r="AY1186" s="186"/>
      <c r="AZ1186" s="186"/>
      <c r="BA1186" s="186"/>
      <c r="BB1186" s="186"/>
      <c r="BC1186" s="186"/>
      <c r="BD1186" s="186"/>
      <c r="BE1186" s="186"/>
      <c r="BF1186" s="150"/>
      <c r="BG1186" s="150"/>
    </row>
    <row r="1187" spans="3:59" ht="14.6">
      <c r="C1187" s="289"/>
      <c r="D1187" s="150"/>
      <c r="E1187" s="150"/>
      <c r="F1187" s="150"/>
      <c r="G1187" s="150"/>
      <c r="H1187" s="150"/>
      <c r="I1187" s="150"/>
      <c r="J1187" s="150"/>
      <c r="K1187" s="150"/>
      <c r="L1187" s="150"/>
      <c r="M1187" s="150"/>
      <c r="N1187" s="150"/>
      <c r="O1187" s="150"/>
      <c r="P1187" s="150"/>
      <c r="Q1187" s="150"/>
      <c r="R1187" s="150"/>
      <c r="S1187" s="150"/>
      <c r="T1187" s="186"/>
      <c r="U1187" s="186"/>
      <c r="V1187" s="186"/>
      <c r="W1187" s="186"/>
      <c r="X1187" s="186"/>
      <c r="Y1187" s="186"/>
      <c r="Z1187" s="186"/>
      <c r="AA1187" s="186"/>
      <c r="AB1187" s="186"/>
      <c r="AC1187" s="186"/>
      <c r="AD1187" s="186"/>
      <c r="AF1187" s="150"/>
      <c r="AG1187" s="150"/>
      <c r="AH1187" s="150"/>
      <c r="AI1187" s="150"/>
      <c r="AJ1187" s="150"/>
      <c r="AK1187" s="150"/>
      <c r="AL1187" s="150"/>
      <c r="AM1187" s="150"/>
      <c r="AN1187" s="150"/>
      <c r="AO1187" s="150"/>
      <c r="AP1187" s="150"/>
      <c r="AQ1187" s="150"/>
      <c r="AT1187" s="186"/>
      <c r="AU1187" s="186"/>
      <c r="AV1187" s="186"/>
      <c r="AW1187" s="186"/>
      <c r="AX1187" s="186"/>
      <c r="AY1187" s="186"/>
      <c r="AZ1187" s="186"/>
      <c r="BA1187" s="186"/>
      <c r="BB1187" s="186"/>
      <c r="BC1187" s="186"/>
      <c r="BD1187" s="186"/>
      <c r="BE1187" s="186"/>
      <c r="BF1187" s="150"/>
      <c r="BG1187" s="150"/>
    </row>
    <row r="1188" spans="3:59" ht="14.6">
      <c r="C1188" s="289"/>
      <c r="D1188" s="150"/>
      <c r="E1188" s="150"/>
      <c r="F1188" s="150"/>
      <c r="G1188" s="150"/>
      <c r="H1188" s="150"/>
      <c r="I1188" s="150"/>
      <c r="J1188" s="150"/>
      <c r="K1188" s="150"/>
      <c r="L1188" s="150"/>
      <c r="M1188" s="150"/>
      <c r="N1188" s="150"/>
      <c r="O1188" s="150"/>
      <c r="P1188" s="150"/>
      <c r="Q1188" s="150"/>
      <c r="R1188" s="150"/>
      <c r="S1188" s="150"/>
      <c r="T1188" s="186"/>
      <c r="U1188" s="186"/>
      <c r="V1188" s="186"/>
      <c r="W1188" s="186"/>
      <c r="X1188" s="186"/>
      <c r="Y1188" s="186"/>
      <c r="Z1188" s="186"/>
      <c r="AA1188" s="186"/>
      <c r="AB1188" s="186"/>
      <c r="AC1188" s="186"/>
      <c r="AD1188" s="186"/>
      <c r="AF1188" s="150"/>
      <c r="AG1188" s="150"/>
      <c r="AH1188" s="150"/>
      <c r="AI1188" s="150"/>
      <c r="AJ1188" s="150"/>
      <c r="AK1188" s="150"/>
      <c r="AL1188" s="150"/>
      <c r="AM1188" s="150"/>
      <c r="AN1188" s="150"/>
      <c r="AO1188" s="150"/>
      <c r="AP1188" s="150"/>
      <c r="AQ1188" s="150"/>
      <c r="AT1188" s="186"/>
      <c r="AU1188" s="186"/>
      <c r="AV1188" s="186"/>
      <c r="AW1188" s="186"/>
      <c r="AX1188" s="186"/>
      <c r="AY1188" s="186"/>
      <c r="AZ1188" s="186"/>
      <c r="BA1188" s="186"/>
      <c r="BB1188" s="186"/>
      <c r="BC1188" s="186"/>
      <c r="BD1188" s="186"/>
      <c r="BE1188" s="186"/>
      <c r="BF1188" s="150"/>
      <c r="BG1188" s="150"/>
    </row>
    <row r="1189" spans="3:59" ht="14.6">
      <c r="C1189" s="289"/>
      <c r="D1189" s="150"/>
      <c r="E1189" s="150"/>
      <c r="F1189" s="150"/>
      <c r="G1189" s="150"/>
      <c r="H1189" s="150"/>
      <c r="I1189" s="150"/>
      <c r="J1189" s="150"/>
      <c r="K1189" s="150"/>
      <c r="L1189" s="150"/>
      <c r="M1189" s="150"/>
      <c r="N1189" s="150"/>
      <c r="O1189" s="150"/>
      <c r="P1189" s="150"/>
      <c r="Q1189" s="150"/>
      <c r="R1189" s="150"/>
      <c r="S1189" s="150"/>
      <c r="T1189" s="186"/>
      <c r="U1189" s="186"/>
      <c r="V1189" s="186"/>
      <c r="W1189" s="186"/>
      <c r="X1189" s="186"/>
      <c r="Y1189" s="186"/>
      <c r="Z1189" s="186"/>
      <c r="AA1189" s="186"/>
      <c r="AB1189" s="186"/>
      <c r="AC1189" s="186"/>
      <c r="AD1189" s="186"/>
      <c r="AF1189" s="150"/>
      <c r="AG1189" s="150"/>
      <c r="AH1189" s="150"/>
      <c r="AI1189" s="150"/>
      <c r="AJ1189" s="150"/>
      <c r="AK1189" s="150"/>
      <c r="AL1189" s="150"/>
      <c r="AM1189" s="150"/>
      <c r="AN1189" s="150"/>
      <c r="AO1189" s="150"/>
      <c r="AP1189" s="150"/>
      <c r="AQ1189" s="150"/>
      <c r="AT1189" s="186"/>
      <c r="AU1189" s="186"/>
      <c r="AV1189" s="186"/>
      <c r="AW1189" s="186"/>
      <c r="AX1189" s="186"/>
      <c r="AY1189" s="186"/>
      <c r="AZ1189" s="186"/>
      <c r="BA1189" s="186"/>
      <c r="BB1189" s="186"/>
      <c r="BC1189" s="186"/>
      <c r="BD1189" s="186"/>
      <c r="BE1189" s="186"/>
      <c r="BF1189" s="150"/>
      <c r="BG1189" s="150"/>
    </row>
    <row r="1190" spans="3:59" ht="14.6">
      <c r="C1190" s="289"/>
      <c r="D1190" s="150"/>
      <c r="E1190" s="150"/>
      <c r="F1190" s="150"/>
      <c r="G1190" s="150"/>
      <c r="H1190" s="150"/>
      <c r="I1190" s="150"/>
      <c r="J1190" s="150"/>
      <c r="K1190" s="150"/>
      <c r="L1190" s="150"/>
      <c r="M1190" s="150"/>
      <c r="N1190" s="150"/>
      <c r="O1190" s="150"/>
      <c r="P1190" s="150"/>
      <c r="Q1190" s="150"/>
      <c r="R1190" s="150"/>
      <c r="S1190" s="150"/>
      <c r="T1190" s="186"/>
      <c r="U1190" s="186"/>
      <c r="V1190" s="186"/>
      <c r="W1190" s="186"/>
      <c r="X1190" s="186"/>
      <c r="Y1190" s="186"/>
      <c r="Z1190" s="186"/>
      <c r="AA1190" s="186"/>
      <c r="AB1190" s="186"/>
      <c r="AC1190" s="186"/>
      <c r="AD1190" s="186"/>
      <c r="AF1190" s="150"/>
      <c r="AG1190" s="150"/>
      <c r="AH1190" s="150"/>
      <c r="AI1190" s="150"/>
      <c r="AJ1190" s="150"/>
      <c r="AK1190" s="150"/>
      <c r="AL1190" s="150"/>
      <c r="AM1190" s="150"/>
      <c r="AN1190" s="150"/>
      <c r="AO1190" s="150"/>
      <c r="AP1190" s="150"/>
      <c r="AQ1190" s="150"/>
      <c r="AT1190" s="186"/>
      <c r="AU1190" s="186"/>
      <c r="AV1190" s="186"/>
      <c r="AW1190" s="186"/>
      <c r="AX1190" s="186"/>
      <c r="AY1190" s="186"/>
      <c r="AZ1190" s="186"/>
      <c r="BA1190" s="186"/>
      <c r="BB1190" s="186"/>
      <c r="BC1190" s="186"/>
      <c r="BD1190" s="186"/>
      <c r="BE1190" s="186"/>
      <c r="BF1190" s="150"/>
      <c r="BG1190" s="150"/>
    </row>
    <row r="1191" spans="3:59" ht="14.6">
      <c r="C1191" s="289"/>
      <c r="D1191" s="150"/>
      <c r="E1191" s="150"/>
      <c r="F1191" s="150"/>
      <c r="G1191" s="150"/>
      <c r="H1191" s="150"/>
      <c r="I1191" s="150"/>
      <c r="J1191" s="150"/>
      <c r="K1191" s="150"/>
      <c r="L1191" s="150"/>
      <c r="M1191" s="150"/>
      <c r="N1191" s="150"/>
      <c r="O1191" s="150"/>
      <c r="P1191" s="150"/>
      <c r="Q1191" s="150"/>
      <c r="R1191" s="150"/>
      <c r="S1191" s="150"/>
      <c r="T1191" s="186"/>
      <c r="U1191" s="186"/>
      <c r="V1191" s="186"/>
      <c r="W1191" s="186"/>
      <c r="X1191" s="186"/>
      <c r="Y1191" s="186"/>
      <c r="Z1191" s="186"/>
      <c r="AA1191" s="186"/>
      <c r="AB1191" s="186"/>
      <c r="AC1191" s="186"/>
      <c r="AD1191" s="186"/>
      <c r="AF1191" s="150"/>
      <c r="AG1191" s="150"/>
      <c r="AH1191" s="150"/>
      <c r="AI1191" s="150"/>
      <c r="AJ1191" s="150"/>
      <c r="AK1191" s="150"/>
      <c r="AL1191" s="150"/>
      <c r="AM1191" s="150"/>
      <c r="AN1191" s="150"/>
      <c r="AO1191" s="150"/>
      <c r="AP1191" s="150"/>
      <c r="AQ1191" s="150"/>
      <c r="AT1191" s="186"/>
      <c r="AU1191" s="186"/>
      <c r="AV1191" s="186"/>
      <c r="AW1191" s="186"/>
      <c r="AX1191" s="186"/>
      <c r="AY1191" s="186"/>
      <c r="AZ1191" s="186"/>
      <c r="BA1191" s="186"/>
      <c r="BB1191" s="186"/>
      <c r="BC1191" s="186"/>
      <c r="BD1191" s="186"/>
      <c r="BE1191" s="186"/>
      <c r="BF1191" s="150"/>
      <c r="BG1191" s="150"/>
    </row>
    <row r="1192" spans="3:59" ht="14.6">
      <c r="C1192" s="289"/>
      <c r="D1192" s="150"/>
      <c r="E1192" s="150"/>
      <c r="F1192" s="150"/>
      <c r="G1192" s="150"/>
      <c r="H1192" s="150"/>
      <c r="I1192" s="150"/>
      <c r="J1192" s="150"/>
      <c r="K1192" s="150"/>
      <c r="L1192" s="150"/>
      <c r="M1192" s="150"/>
      <c r="N1192" s="150"/>
      <c r="O1192" s="150"/>
      <c r="P1192" s="150"/>
      <c r="Q1192" s="150"/>
      <c r="R1192" s="150"/>
      <c r="S1192" s="150"/>
      <c r="T1192" s="186"/>
      <c r="U1192" s="186"/>
      <c r="V1192" s="186"/>
      <c r="W1192" s="186"/>
      <c r="X1192" s="186"/>
      <c r="Y1192" s="186"/>
      <c r="Z1192" s="186"/>
      <c r="AA1192" s="186"/>
      <c r="AB1192" s="186"/>
      <c r="AC1192" s="186"/>
      <c r="AD1192" s="186"/>
      <c r="AF1192" s="150"/>
      <c r="AG1192" s="150"/>
      <c r="AH1192" s="150"/>
      <c r="AI1192" s="150"/>
      <c r="AJ1192" s="150"/>
      <c r="AK1192" s="150"/>
      <c r="AL1192" s="150"/>
      <c r="AM1192" s="150"/>
      <c r="AN1192" s="150"/>
      <c r="AO1192" s="150"/>
      <c r="AP1192" s="150"/>
      <c r="AQ1192" s="150"/>
      <c r="AT1192" s="186"/>
      <c r="AU1192" s="186"/>
      <c r="AV1192" s="186"/>
      <c r="AW1192" s="186"/>
      <c r="AX1192" s="186"/>
      <c r="AY1192" s="186"/>
      <c r="AZ1192" s="186"/>
      <c r="BA1192" s="186"/>
      <c r="BB1192" s="186"/>
      <c r="BC1192" s="186"/>
      <c r="BD1192" s="186"/>
      <c r="BE1192" s="186"/>
      <c r="BF1192" s="150"/>
      <c r="BG1192" s="150"/>
    </row>
    <row r="1193" spans="3:59" ht="14.6">
      <c r="C1193" s="289"/>
      <c r="D1193" s="150"/>
      <c r="E1193" s="150"/>
      <c r="F1193" s="150"/>
      <c r="G1193" s="150"/>
      <c r="H1193" s="150"/>
      <c r="I1193" s="150"/>
      <c r="J1193" s="150"/>
      <c r="K1193" s="150"/>
      <c r="L1193" s="150"/>
      <c r="M1193" s="150"/>
      <c r="N1193" s="150"/>
      <c r="O1193" s="150"/>
      <c r="P1193" s="150"/>
      <c r="Q1193" s="150"/>
      <c r="R1193" s="150"/>
      <c r="S1193" s="150"/>
      <c r="T1193" s="186"/>
      <c r="U1193" s="186"/>
      <c r="V1193" s="186"/>
      <c r="W1193" s="186"/>
      <c r="X1193" s="186"/>
      <c r="Y1193" s="186"/>
      <c r="Z1193" s="186"/>
      <c r="AA1193" s="186"/>
      <c r="AB1193" s="186"/>
      <c r="AC1193" s="186"/>
      <c r="AD1193" s="186"/>
      <c r="AF1193" s="150"/>
      <c r="AG1193" s="150"/>
      <c r="AH1193" s="150"/>
      <c r="AI1193" s="150"/>
      <c r="AJ1193" s="150"/>
      <c r="AK1193" s="150"/>
      <c r="AL1193" s="150"/>
      <c r="AM1193" s="150"/>
      <c r="AN1193" s="150"/>
      <c r="AO1193" s="150"/>
      <c r="AP1193" s="150"/>
      <c r="AQ1193" s="150"/>
      <c r="AT1193" s="186"/>
      <c r="AU1193" s="186"/>
      <c r="AV1193" s="186"/>
      <c r="AW1193" s="186"/>
      <c r="AX1193" s="186"/>
      <c r="AY1193" s="186"/>
      <c r="AZ1193" s="186"/>
      <c r="BA1193" s="186"/>
      <c r="BB1193" s="186"/>
      <c r="BC1193" s="186"/>
      <c r="BD1193" s="186"/>
      <c r="BE1193" s="186"/>
      <c r="BF1193" s="150"/>
      <c r="BG1193" s="150"/>
    </row>
    <row r="1194" spans="3:59" ht="14.6">
      <c r="C1194" s="289"/>
      <c r="D1194" s="150"/>
      <c r="E1194" s="150"/>
      <c r="F1194" s="150"/>
      <c r="G1194" s="150"/>
      <c r="H1194" s="150"/>
      <c r="I1194" s="150"/>
      <c r="J1194" s="150"/>
      <c r="K1194" s="150"/>
      <c r="L1194" s="150"/>
      <c r="M1194" s="150"/>
      <c r="N1194" s="150"/>
      <c r="O1194" s="150"/>
      <c r="P1194" s="150"/>
      <c r="Q1194" s="150"/>
      <c r="R1194" s="150"/>
      <c r="S1194" s="150"/>
      <c r="T1194" s="186"/>
      <c r="U1194" s="186"/>
      <c r="V1194" s="186"/>
      <c r="W1194" s="186"/>
      <c r="X1194" s="186"/>
      <c r="Y1194" s="186"/>
      <c r="Z1194" s="186"/>
      <c r="AA1194" s="186"/>
      <c r="AB1194" s="186"/>
      <c r="AC1194" s="186"/>
      <c r="AD1194" s="186"/>
      <c r="AF1194" s="150"/>
      <c r="AG1194" s="150"/>
      <c r="AH1194" s="150"/>
      <c r="AI1194" s="150"/>
      <c r="AJ1194" s="150"/>
      <c r="AK1194" s="150"/>
      <c r="AL1194" s="150"/>
      <c r="AM1194" s="150"/>
      <c r="AN1194" s="150"/>
      <c r="AO1194" s="150"/>
      <c r="AP1194" s="150"/>
      <c r="AQ1194" s="150"/>
      <c r="AT1194" s="186"/>
      <c r="AU1194" s="186"/>
      <c r="AV1194" s="186"/>
      <c r="AW1194" s="186"/>
      <c r="AX1194" s="186"/>
      <c r="AY1194" s="186"/>
      <c r="AZ1194" s="186"/>
      <c r="BA1194" s="186"/>
      <c r="BB1194" s="186"/>
      <c r="BC1194" s="186"/>
      <c r="BD1194" s="186"/>
      <c r="BE1194" s="186"/>
      <c r="BF1194" s="150"/>
      <c r="BG1194" s="150"/>
    </row>
    <row r="1195" spans="3:59" ht="14.6">
      <c r="C1195" s="289"/>
      <c r="D1195" s="150"/>
      <c r="E1195" s="150"/>
      <c r="F1195" s="150"/>
      <c r="G1195" s="150"/>
      <c r="H1195" s="150"/>
      <c r="I1195" s="150"/>
      <c r="J1195" s="150"/>
      <c r="K1195" s="150"/>
      <c r="L1195" s="150"/>
      <c r="M1195" s="150"/>
      <c r="N1195" s="150"/>
      <c r="O1195" s="150"/>
      <c r="P1195" s="150"/>
      <c r="Q1195" s="150"/>
      <c r="R1195" s="150"/>
      <c r="S1195" s="150"/>
      <c r="T1195" s="186"/>
      <c r="U1195" s="186"/>
      <c r="V1195" s="186"/>
      <c r="W1195" s="186"/>
      <c r="X1195" s="186"/>
      <c r="Y1195" s="186"/>
      <c r="Z1195" s="186"/>
      <c r="AA1195" s="186"/>
      <c r="AB1195" s="186"/>
      <c r="AC1195" s="186"/>
      <c r="AD1195" s="186"/>
      <c r="AF1195" s="150"/>
      <c r="AG1195" s="150"/>
      <c r="AH1195" s="150"/>
      <c r="AI1195" s="150"/>
      <c r="AJ1195" s="150"/>
      <c r="AK1195" s="150"/>
      <c r="AL1195" s="150"/>
      <c r="AM1195" s="150"/>
      <c r="AN1195" s="150"/>
      <c r="AO1195" s="150"/>
      <c r="AP1195" s="150"/>
      <c r="AQ1195" s="150"/>
      <c r="AT1195" s="186"/>
      <c r="AU1195" s="186"/>
      <c r="AV1195" s="186"/>
      <c r="AW1195" s="186"/>
      <c r="AX1195" s="186"/>
      <c r="AY1195" s="186"/>
      <c r="AZ1195" s="186"/>
      <c r="BA1195" s="186"/>
      <c r="BB1195" s="186"/>
      <c r="BC1195" s="186"/>
      <c r="BD1195" s="186"/>
      <c r="BE1195" s="186"/>
      <c r="BF1195" s="150"/>
      <c r="BG1195" s="150"/>
    </row>
    <row r="1196" spans="3:59" ht="14.6">
      <c r="C1196" s="289"/>
      <c r="D1196" s="150"/>
      <c r="E1196" s="150"/>
      <c r="F1196" s="150"/>
      <c r="G1196" s="150"/>
      <c r="H1196" s="150"/>
      <c r="I1196" s="150"/>
      <c r="J1196" s="150"/>
      <c r="K1196" s="150"/>
      <c r="L1196" s="150"/>
      <c r="M1196" s="150"/>
      <c r="N1196" s="150"/>
      <c r="O1196" s="150"/>
      <c r="P1196" s="150"/>
      <c r="Q1196" s="150"/>
      <c r="R1196" s="150"/>
      <c r="S1196" s="150"/>
      <c r="T1196" s="186"/>
      <c r="U1196" s="186"/>
      <c r="V1196" s="186"/>
      <c r="W1196" s="186"/>
      <c r="X1196" s="186"/>
      <c r="Y1196" s="186"/>
      <c r="Z1196" s="186"/>
      <c r="AA1196" s="186"/>
      <c r="AB1196" s="186"/>
      <c r="AC1196" s="186"/>
      <c r="AD1196" s="186"/>
      <c r="AF1196" s="150"/>
      <c r="AG1196" s="150"/>
      <c r="AH1196" s="150"/>
      <c r="AI1196" s="150"/>
      <c r="AJ1196" s="150"/>
      <c r="AK1196" s="150"/>
      <c r="AL1196" s="150"/>
      <c r="AM1196" s="150"/>
      <c r="AN1196" s="150"/>
      <c r="AO1196" s="150"/>
      <c r="AP1196" s="150"/>
      <c r="AQ1196" s="150"/>
      <c r="AT1196" s="186"/>
      <c r="AU1196" s="186"/>
      <c r="AV1196" s="186"/>
      <c r="AW1196" s="186"/>
      <c r="AX1196" s="186"/>
      <c r="AY1196" s="186"/>
      <c r="AZ1196" s="186"/>
      <c r="BA1196" s="186"/>
      <c r="BB1196" s="186"/>
      <c r="BC1196" s="186"/>
      <c r="BD1196" s="186"/>
      <c r="BE1196" s="186"/>
      <c r="BF1196" s="150"/>
      <c r="BG1196" s="150"/>
    </row>
    <row r="1197" spans="3:59" ht="14.6">
      <c r="C1197" s="289"/>
      <c r="D1197" s="150"/>
      <c r="E1197" s="150"/>
      <c r="F1197" s="150"/>
      <c r="G1197" s="150"/>
      <c r="H1197" s="150"/>
      <c r="I1197" s="150"/>
      <c r="J1197" s="150"/>
      <c r="K1197" s="150"/>
      <c r="L1197" s="150"/>
      <c r="M1197" s="150"/>
      <c r="N1197" s="150"/>
      <c r="O1197" s="150"/>
      <c r="P1197" s="150"/>
      <c r="Q1197" s="150"/>
      <c r="R1197" s="150"/>
      <c r="S1197" s="150"/>
      <c r="T1197" s="186"/>
      <c r="U1197" s="186"/>
      <c r="V1197" s="186"/>
      <c r="W1197" s="186"/>
      <c r="X1197" s="186"/>
      <c r="Y1197" s="186"/>
      <c r="Z1197" s="186"/>
      <c r="AA1197" s="186"/>
      <c r="AB1197" s="186"/>
      <c r="AC1197" s="186"/>
      <c r="AD1197" s="186"/>
      <c r="AF1197" s="150"/>
      <c r="AG1197" s="150"/>
      <c r="AH1197" s="150"/>
      <c r="AI1197" s="150"/>
      <c r="AJ1197" s="150"/>
      <c r="AK1197" s="150"/>
      <c r="AL1197" s="150"/>
      <c r="AM1197" s="150"/>
      <c r="AN1197" s="150"/>
      <c r="AO1197" s="150"/>
      <c r="AP1197" s="150"/>
      <c r="AQ1197" s="150"/>
      <c r="AT1197" s="186"/>
      <c r="AU1197" s="186"/>
      <c r="AV1197" s="186"/>
      <c r="AW1197" s="186"/>
      <c r="AX1197" s="186"/>
      <c r="AY1197" s="186"/>
      <c r="AZ1197" s="186"/>
      <c r="BA1197" s="186"/>
      <c r="BB1197" s="186"/>
      <c r="BC1197" s="186"/>
      <c r="BD1197" s="186"/>
      <c r="BE1197" s="186"/>
      <c r="BF1197" s="150"/>
      <c r="BG1197" s="150"/>
    </row>
    <row r="1198" spans="3:59" ht="14.6">
      <c r="C1198" s="289"/>
      <c r="D1198" s="150"/>
      <c r="E1198" s="150"/>
      <c r="F1198" s="150"/>
      <c r="G1198" s="150"/>
      <c r="H1198" s="150"/>
      <c r="I1198" s="150"/>
      <c r="J1198" s="150"/>
      <c r="K1198" s="150"/>
      <c r="L1198" s="150"/>
      <c r="M1198" s="150"/>
      <c r="N1198" s="150"/>
      <c r="O1198" s="150"/>
      <c r="P1198" s="150"/>
      <c r="Q1198" s="150"/>
      <c r="R1198" s="150"/>
      <c r="S1198" s="150"/>
      <c r="T1198" s="186"/>
      <c r="U1198" s="186"/>
      <c r="V1198" s="186"/>
      <c r="W1198" s="186"/>
      <c r="X1198" s="186"/>
      <c r="Y1198" s="186"/>
      <c r="Z1198" s="186"/>
      <c r="AA1198" s="186"/>
      <c r="AB1198" s="186"/>
      <c r="AC1198" s="186"/>
      <c r="AD1198" s="186"/>
      <c r="AF1198" s="150"/>
      <c r="AG1198" s="150"/>
      <c r="AH1198" s="150"/>
      <c r="AI1198" s="150"/>
      <c r="AJ1198" s="150"/>
      <c r="AK1198" s="150"/>
      <c r="AL1198" s="150"/>
      <c r="AM1198" s="150"/>
      <c r="AN1198" s="150"/>
      <c r="AO1198" s="150"/>
      <c r="AP1198" s="150"/>
      <c r="AQ1198" s="150"/>
      <c r="AT1198" s="186"/>
      <c r="AU1198" s="186"/>
      <c r="AV1198" s="186"/>
      <c r="AW1198" s="186"/>
      <c r="AX1198" s="186"/>
      <c r="AY1198" s="186"/>
      <c r="AZ1198" s="186"/>
      <c r="BA1198" s="186"/>
      <c r="BB1198" s="186"/>
      <c r="BC1198" s="186"/>
      <c r="BD1198" s="186"/>
      <c r="BE1198" s="186"/>
      <c r="BF1198" s="150"/>
      <c r="BG1198" s="150"/>
    </row>
    <row r="1199" spans="3:59" ht="14.6">
      <c r="C1199" s="289"/>
      <c r="D1199" s="150"/>
      <c r="E1199" s="150"/>
      <c r="F1199" s="150"/>
      <c r="G1199" s="150"/>
      <c r="H1199" s="150"/>
      <c r="I1199" s="150"/>
      <c r="J1199" s="150"/>
      <c r="K1199" s="150"/>
      <c r="L1199" s="150"/>
      <c r="M1199" s="150"/>
      <c r="N1199" s="150"/>
      <c r="O1199" s="150"/>
      <c r="P1199" s="150"/>
      <c r="Q1199" s="150"/>
      <c r="R1199" s="150"/>
      <c r="S1199" s="150"/>
      <c r="T1199" s="186"/>
      <c r="U1199" s="186"/>
      <c r="V1199" s="186"/>
      <c r="W1199" s="186"/>
      <c r="X1199" s="186"/>
      <c r="Y1199" s="186"/>
      <c r="Z1199" s="186"/>
      <c r="AA1199" s="186"/>
      <c r="AB1199" s="186"/>
      <c r="AC1199" s="186"/>
      <c r="AD1199" s="186"/>
      <c r="AF1199" s="150"/>
      <c r="AG1199" s="150"/>
      <c r="AH1199" s="150"/>
      <c r="AI1199" s="150"/>
      <c r="AJ1199" s="150"/>
      <c r="AK1199" s="150"/>
      <c r="AL1199" s="150"/>
      <c r="AM1199" s="150"/>
      <c r="AN1199" s="150"/>
      <c r="AO1199" s="150"/>
      <c r="AP1199" s="150"/>
      <c r="AQ1199" s="150"/>
      <c r="AT1199" s="186"/>
      <c r="AU1199" s="186"/>
      <c r="AV1199" s="186"/>
      <c r="AW1199" s="186"/>
      <c r="AX1199" s="186"/>
      <c r="AY1199" s="186"/>
      <c r="AZ1199" s="186"/>
      <c r="BA1199" s="186"/>
      <c r="BB1199" s="186"/>
      <c r="BC1199" s="186"/>
      <c r="BD1199" s="186"/>
      <c r="BE1199" s="186"/>
      <c r="BF1199" s="150"/>
      <c r="BG1199" s="150"/>
    </row>
    <row r="1200" spans="3:59" ht="14.6">
      <c r="C1200" s="289"/>
      <c r="D1200" s="150"/>
      <c r="E1200" s="150"/>
      <c r="F1200" s="150"/>
      <c r="G1200" s="150"/>
      <c r="H1200" s="150"/>
      <c r="I1200" s="150"/>
      <c r="J1200" s="150"/>
      <c r="K1200" s="150"/>
      <c r="L1200" s="150"/>
      <c r="M1200" s="150"/>
      <c r="N1200" s="150"/>
      <c r="O1200" s="150"/>
      <c r="P1200" s="150"/>
      <c r="Q1200" s="150"/>
      <c r="R1200" s="150"/>
      <c r="S1200" s="150"/>
      <c r="T1200" s="186"/>
      <c r="U1200" s="186"/>
      <c r="V1200" s="186"/>
      <c r="W1200" s="186"/>
      <c r="X1200" s="186"/>
      <c r="Y1200" s="186"/>
      <c r="Z1200" s="186"/>
      <c r="AA1200" s="186"/>
      <c r="AB1200" s="186"/>
      <c r="AC1200" s="186"/>
      <c r="AD1200" s="186"/>
      <c r="AF1200" s="150"/>
      <c r="AG1200" s="150"/>
      <c r="AH1200" s="150"/>
      <c r="AI1200" s="150"/>
      <c r="AJ1200" s="150"/>
      <c r="AK1200" s="150"/>
      <c r="AL1200" s="150"/>
      <c r="AM1200" s="150"/>
      <c r="AN1200" s="150"/>
      <c r="AO1200" s="150"/>
      <c r="AP1200" s="150"/>
      <c r="AQ1200" s="150"/>
      <c r="AT1200" s="186"/>
      <c r="AU1200" s="186"/>
      <c r="AV1200" s="186"/>
      <c r="AW1200" s="186"/>
      <c r="AX1200" s="186"/>
      <c r="AY1200" s="186"/>
      <c r="AZ1200" s="186"/>
      <c r="BA1200" s="186"/>
      <c r="BB1200" s="186"/>
      <c r="BC1200" s="186"/>
      <c r="BD1200" s="186"/>
      <c r="BE1200" s="186"/>
      <c r="BF1200" s="150"/>
      <c r="BG1200" s="150"/>
    </row>
    <row r="1201" spans="3:59" ht="14.6">
      <c r="C1201" s="289"/>
      <c r="D1201" s="150"/>
      <c r="E1201" s="150"/>
      <c r="F1201" s="150"/>
      <c r="G1201" s="150"/>
      <c r="H1201" s="150"/>
      <c r="I1201" s="150"/>
      <c r="J1201" s="150"/>
      <c r="K1201" s="150"/>
      <c r="L1201" s="150"/>
      <c r="M1201" s="150"/>
      <c r="N1201" s="150"/>
      <c r="O1201" s="150"/>
      <c r="P1201" s="150"/>
      <c r="Q1201" s="150"/>
      <c r="R1201" s="150"/>
      <c r="S1201" s="150"/>
      <c r="T1201" s="186"/>
      <c r="U1201" s="186"/>
      <c r="V1201" s="186"/>
      <c r="W1201" s="186"/>
      <c r="X1201" s="186"/>
      <c r="Y1201" s="186"/>
      <c r="Z1201" s="186"/>
      <c r="AA1201" s="186"/>
      <c r="AB1201" s="186"/>
      <c r="AC1201" s="186"/>
      <c r="AD1201" s="186"/>
      <c r="AF1201" s="150"/>
      <c r="AG1201" s="150"/>
      <c r="AH1201" s="150"/>
      <c r="AI1201" s="150"/>
      <c r="AJ1201" s="150"/>
      <c r="AK1201" s="150"/>
      <c r="AL1201" s="150"/>
      <c r="AM1201" s="150"/>
      <c r="AN1201" s="150"/>
      <c r="AO1201" s="150"/>
      <c r="AP1201" s="150"/>
      <c r="AQ1201" s="150"/>
      <c r="AT1201" s="186"/>
      <c r="AU1201" s="186"/>
      <c r="AV1201" s="186"/>
      <c r="AW1201" s="186"/>
      <c r="AX1201" s="186"/>
      <c r="AY1201" s="186"/>
      <c r="AZ1201" s="186"/>
      <c r="BA1201" s="186"/>
      <c r="BB1201" s="186"/>
      <c r="BC1201" s="186"/>
      <c r="BD1201" s="186"/>
      <c r="BE1201" s="186"/>
      <c r="BF1201" s="150"/>
      <c r="BG1201" s="150"/>
    </row>
    <row r="1202" spans="3:59" ht="14.6">
      <c r="C1202" s="289"/>
      <c r="D1202" s="150"/>
      <c r="E1202" s="150"/>
      <c r="F1202" s="150"/>
      <c r="G1202" s="150"/>
      <c r="H1202" s="150"/>
      <c r="I1202" s="150"/>
      <c r="J1202" s="150"/>
      <c r="K1202" s="150"/>
      <c r="L1202" s="150"/>
      <c r="M1202" s="150"/>
      <c r="N1202" s="150"/>
      <c r="O1202" s="150"/>
      <c r="P1202" s="150"/>
      <c r="Q1202" s="150"/>
      <c r="R1202" s="150"/>
      <c r="S1202" s="150"/>
      <c r="T1202" s="186"/>
      <c r="U1202" s="186"/>
      <c r="V1202" s="186"/>
      <c r="W1202" s="186"/>
      <c r="X1202" s="186"/>
      <c r="Y1202" s="186"/>
      <c r="Z1202" s="186"/>
      <c r="AA1202" s="186"/>
      <c r="AB1202" s="186"/>
      <c r="AC1202" s="186"/>
      <c r="AD1202" s="186"/>
      <c r="AF1202" s="150"/>
      <c r="AG1202" s="150"/>
      <c r="AH1202" s="150"/>
      <c r="AI1202" s="150"/>
      <c r="AJ1202" s="150"/>
      <c r="AK1202" s="150"/>
      <c r="AL1202" s="150"/>
      <c r="AM1202" s="150"/>
      <c r="AN1202" s="150"/>
      <c r="AO1202" s="150"/>
      <c r="AP1202" s="150"/>
      <c r="AQ1202" s="150"/>
      <c r="AT1202" s="186"/>
      <c r="AU1202" s="186"/>
      <c r="AV1202" s="186"/>
      <c r="AW1202" s="186"/>
      <c r="AX1202" s="186"/>
      <c r="AY1202" s="186"/>
      <c r="AZ1202" s="186"/>
      <c r="BA1202" s="186"/>
      <c r="BB1202" s="186"/>
      <c r="BC1202" s="186"/>
      <c r="BD1202" s="186"/>
      <c r="BE1202" s="186"/>
      <c r="BF1202" s="150"/>
      <c r="BG1202" s="150"/>
    </row>
    <row r="1203" spans="3:59" ht="14.6">
      <c r="C1203" s="289"/>
      <c r="D1203" s="150"/>
      <c r="E1203" s="150"/>
      <c r="F1203" s="150"/>
      <c r="G1203" s="150"/>
      <c r="H1203" s="150"/>
      <c r="I1203" s="150"/>
      <c r="J1203" s="150"/>
      <c r="K1203" s="150"/>
      <c r="L1203" s="150"/>
      <c r="M1203" s="150"/>
      <c r="N1203" s="150"/>
      <c r="O1203" s="150"/>
      <c r="P1203" s="150"/>
      <c r="Q1203" s="150"/>
      <c r="R1203" s="150"/>
      <c r="S1203" s="150"/>
      <c r="T1203" s="186"/>
      <c r="U1203" s="186"/>
      <c r="V1203" s="186"/>
      <c r="W1203" s="186"/>
      <c r="X1203" s="186"/>
      <c r="Y1203" s="186"/>
      <c r="Z1203" s="186"/>
      <c r="AA1203" s="186"/>
      <c r="AB1203" s="186"/>
      <c r="AC1203" s="186"/>
      <c r="AD1203" s="186"/>
      <c r="AF1203" s="150"/>
      <c r="AG1203" s="150"/>
      <c r="AH1203" s="150"/>
      <c r="AI1203" s="150"/>
      <c r="AJ1203" s="150"/>
      <c r="AK1203" s="150"/>
      <c r="AL1203" s="150"/>
      <c r="AM1203" s="150"/>
      <c r="AN1203" s="150"/>
      <c r="AO1203" s="150"/>
      <c r="AP1203" s="150"/>
      <c r="AQ1203" s="150"/>
      <c r="AT1203" s="186"/>
      <c r="AU1203" s="186"/>
      <c r="AV1203" s="186"/>
      <c r="AW1203" s="186"/>
      <c r="AX1203" s="186"/>
      <c r="AY1203" s="186"/>
      <c r="AZ1203" s="186"/>
      <c r="BA1203" s="186"/>
      <c r="BB1203" s="186"/>
      <c r="BC1203" s="186"/>
      <c r="BD1203" s="186"/>
      <c r="BE1203" s="186"/>
      <c r="BF1203" s="150"/>
      <c r="BG1203" s="150"/>
    </row>
    <row r="1204" spans="3:59" ht="14.6">
      <c r="C1204" s="289"/>
      <c r="D1204" s="150"/>
      <c r="E1204" s="150"/>
      <c r="F1204" s="150"/>
      <c r="G1204" s="150"/>
      <c r="H1204" s="150"/>
      <c r="I1204" s="150"/>
      <c r="J1204" s="150"/>
      <c r="K1204" s="150"/>
      <c r="L1204" s="150"/>
      <c r="M1204" s="150"/>
      <c r="N1204" s="150"/>
      <c r="O1204" s="150"/>
      <c r="P1204" s="150"/>
      <c r="Q1204" s="150"/>
      <c r="R1204" s="150"/>
      <c r="S1204" s="150"/>
      <c r="T1204" s="186"/>
      <c r="U1204" s="186"/>
      <c r="V1204" s="186"/>
      <c r="W1204" s="186"/>
      <c r="X1204" s="186"/>
      <c r="Y1204" s="186"/>
      <c r="Z1204" s="186"/>
      <c r="AA1204" s="186"/>
      <c r="AB1204" s="186"/>
      <c r="AC1204" s="186"/>
      <c r="AD1204" s="186"/>
      <c r="AF1204" s="150"/>
      <c r="AG1204" s="150"/>
      <c r="AH1204" s="150"/>
      <c r="AI1204" s="150"/>
      <c r="AJ1204" s="150"/>
      <c r="AK1204" s="150"/>
      <c r="AL1204" s="150"/>
      <c r="AM1204" s="150"/>
      <c r="AN1204" s="150"/>
      <c r="AO1204" s="150"/>
      <c r="AP1204" s="150"/>
      <c r="AQ1204" s="150"/>
      <c r="AT1204" s="186"/>
      <c r="AU1204" s="186"/>
      <c r="AV1204" s="186"/>
      <c r="AW1204" s="186"/>
      <c r="AX1204" s="186"/>
      <c r="AY1204" s="186"/>
      <c r="AZ1204" s="186"/>
      <c r="BA1204" s="186"/>
      <c r="BB1204" s="186"/>
      <c r="BC1204" s="186"/>
      <c r="BD1204" s="186"/>
      <c r="BE1204" s="186"/>
      <c r="BF1204" s="150"/>
      <c r="BG1204" s="150"/>
    </row>
    <row r="1205" spans="3:59" ht="14.6">
      <c r="C1205" s="289"/>
      <c r="D1205" s="150"/>
      <c r="E1205" s="150"/>
      <c r="F1205" s="150"/>
      <c r="G1205" s="150"/>
      <c r="H1205" s="150"/>
      <c r="I1205" s="150"/>
      <c r="J1205" s="150"/>
      <c r="K1205" s="150"/>
      <c r="L1205" s="150"/>
      <c r="M1205" s="150"/>
      <c r="N1205" s="150"/>
      <c r="O1205" s="150"/>
      <c r="P1205" s="150"/>
      <c r="Q1205" s="150"/>
      <c r="R1205" s="150"/>
      <c r="S1205" s="150"/>
      <c r="T1205" s="186"/>
      <c r="U1205" s="186"/>
      <c r="V1205" s="186"/>
      <c r="W1205" s="186"/>
      <c r="X1205" s="186"/>
      <c r="Y1205" s="186"/>
      <c r="Z1205" s="186"/>
      <c r="AA1205" s="186"/>
      <c r="AB1205" s="186"/>
      <c r="AC1205" s="186"/>
      <c r="AD1205" s="186"/>
      <c r="AF1205" s="150"/>
      <c r="AG1205" s="150"/>
      <c r="AH1205" s="150"/>
      <c r="AI1205" s="150"/>
      <c r="AJ1205" s="150"/>
      <c r="AK1205" s="150"/>
      <c r="AL1205" s="150"/>
      <c r="AM1205" s="150"/>
      <c r="AN1205" s="150"/>
      <c r="AO1205" s="150"/>
      <c r="AP1205" s="150"/>
      <c r="AQ1205" s="150"/>
      <c r="AT1205" s="186"/>
      <c r="AU1205" s="186"/>
      <c r="AV1205" s="186"/>
      <c r="AW1205" s="186"/>
      <c r="AX1205" s="186"/>
      <c r="AY1205" s="186"/>
      <c r="AZ1205" s="186"/>
      <c r="BA1205" s="186"/>
      <c r="BB1205" s="186"/>
      <c r="BC1205" s="186"/>
      <c r="BD1205" s="186"/>
      <c r="BE1205" s="186"/>
      <c r="BF1205" s="150"/>
      <c r="BG1205" s="150"/>
    </row>
    <row r="1206" spans="3:59" ht="14.6">
      <c r="C1206" s="289"/>
      <c r="D1206" s="150"/>
      <c r="E1206" s="150"/>
      <c r="F1206" s="150"/>
      <c r="G1206" s="150"/>
      <c r="H1206" s="150"/>
      <c r="I1206" s="150"/>
      <c r="J1206" s="150"/>
      <c r="K1206" s="150"/>
      <c r="L1206" s="150"/>
      <c r="M1206" s="150"/>
      <c r="N1206" s="150"/>
      <c r="O1206" s="150"/>
      <c r="P1206" s="150"/>
      <c r="Q1206" s="150"/>
      <c r="R1206" s="150"/>
      <c r="S1206" s="150"/>
      <c r="T1206" s="186"/>
      <c r="U1206" s="186"/>
      <c r="V1206" s="186"/>
      <c r="W1206" s="186"/>
      <c r="X1206" s="186"/>
      <c r="Y1206" s="186"/>
      <c r="Z1206" s="186"/>
      <c r="AA1206" s="186"/>
      <c r="AB1206" s="186"/>
      <c r="AC1206" s="186"/>
      <c r="AD1206" s="186"/>
      <c r="AF1206" s="150"/>
      <c r="AG1206" s="150"/>
      <c r="AH1206" s="150"/>
      <c r="AI1206" s="150"/>
      <c r="AJ1206" s="150"/>
      <c r="AK1206" s="150"/>
      <c r="AL1206" s="150"/>
      <c r="AM1206" s="150"/>
      <c r="AN1206" s="150"/>
      <c r="AO1206" s="150"/>
      <c r="AP1206" s="150"/>
      <c r="AQ1206" s="150"/>
      <c r="AT1206" s="186"/>
      <c r="AU1206" s="186"/>
      <c r="AV1206" s="186"/>
      <c r="AW1206" s="186"/>
      <c r="AX1206" s="186"/>
      <c r="AY1206" s="186"/>
      <c r="AZ1206" s="186"/>
      <c r="BA1206" s="186"/>
      <c r="BB1206" s="186"/>
      <c r="BC1206" s="186"/>
      <c r="BD1206" s="186"/>
      <c r="BE1206" s="186"/>
      <c r="BF1206" s="150"/>
      <c r="BG1206" s="150"/>
    </row>
    <row r="1207" spans="3:59" ht="14.6">
      <c r="C1207" s="289"/>
      <c r="D1207" s="150"/>
      <c r="E1207" s="150"/>
      <c r="F1207" s="150"/>
      <c r="G1207" s="150"/>
      <c r="H1207" s="150"/>
      <c r="I1207" s="150"/>
      <c r="J1207" s="150"/>
      <c r="K1207" s="150"/>
      <c r="L1207" s="150"/>
      <c r="M1207" s="150"/>
      <c r="N1207" s="150"/>
      <c r="O1207" s="150"/>
      <c r="P1207" s="150"/>
      <c r="Q1207" s="150"/>
      <c r="R1207" s="150"/>
      <c r="S1207" s="150"/>
      <c r="T1207" s="186"/>
      <c r="U1207" s="186"/>
      <c r="V1207" s="186"/>
      <c r="W1207" s="186"/>
      <c r="X1207" s="186"/>
      <c r="Y1207" s="186"/>
      <c r="Z1207" s="186"/>
      <c r="AA1207" s="186"/>
      <c r="AB1207" s="186"/>
      <c r="AC1207" s="186"/>
      <c r="AD1207" s="186"/>
      <c r="AF1207" s="150"/>
      <c r="AG1207" s="150"/>
      <c r="AH1207" s="150"/>
      <c r="AI1207" s="150"/>
      <c r="AJ1207" s="150"/>
      <c r="AK1207" s="150"/>
      <c r="AL1207" s="150"/>
      <c r="AM1207" s="150"/>
      <c r="AN1207" s="150"/>
      <c r="AO1207" s="150"/>
      <c r="AP1207" s="150"/>
      <c r="AQ1207" s="150"/>
      <c r="AT1207" s="186"/>
      <c r="AU1207" s="186"/>
      <c r="AV1207" s="186"/>
      <c r="AW1207" s="186"/>
      <c r="AX1207" s="186"/>
      <c r="AY1207" s="186"/>
      <c r="AZ1207" s="186"/>
      <c r="BA1207" s="186"/>
      <c r="BB1207" s="186"/>
      <c r="BC1207" s="186"/>
      <c r="BD1207" s="186"/>
      <c r="BE1207" s="186"/>
      <c r="BF1207" s="150"/>
      <c r="BG1207" s="150"/>
    </row>
    <row r="1208" spans="3:59" ht="14.6">
      <c r="C1208" s="289"/>
      <c r="D1208" s="150"/>
      <c r="E1208" s="150"/>
      <c r="F1208" s="150"/>
      <c r="G1208" s="150"/>
      <c r="H1208" s="150"/>
      <c r="I1208" s="150"/>
      <c r="J1208" s="150"/>
      <c r="K1208" s="150"/>
      <c r="L1208" s="150"/>
      <c r="M1208" s="150"/>
      <c r="N1208" s="150"/>
      <c r="O1208" s="150"/>
      <c r="P1208" s="150"/>
      <c r="Q1208" s="150"/>
      <c r="R1208" s="150"/>
      <c r="S1208" s="150"/>
      <c r="T1208" s="186"/>
      <c r="U1208" s="186"/>
      <c r="V1208" s="186"/>
      <c r="W1208" s="186"/>
      <c r="X1208" s="186"/>
      <c r="Y1208" s="186"/>
      <c r="Z1208" s="186"/>
      <c r="AA1208" s="186"/>
      <c r="AB1208" s="186"/>
      <c r="AC1208" s="186"/>
      <c r="AD1208" s="186"/>
      <c r="AF1208" s="150"/>
      <c r="AG1208" s="150"/>
      <c r="AH1208" s="150"/>
      <c r="AI1208" s="150"/>
      <c r="AJ1208" s="150"/>
      <c r="AK1208" s="150"/>
      <c r="AL1208" s="150"/>
      <c r="AM1208" s="150"/>
      <c r="AN1208" s="150"/>
      <c r="AO1208" s="150"/>
      <c r="AP1208" s="150"/>
      <c r="AQ1208" s="150"/>
      <c r="AT1208" s="186"/>
      <c r="AU1208" s="186"/>
      <c r="AV1208" s="186"/>
      <c r="AW1208" s="186"/>
      <c r="AX1208" s="186"/>
      <c r="AY1208" s="186"/>
      <c r="AZ1208" s="186"/>
      <c r="BA1208" s="186"/>
      <c r="BB1208" s="186"/>
      <c r="BC1208" s="186"/>
      <c r="BD1208" s="186"/>
      <c r="BE1208" s="186"/>
      <c r="BF1208" s="150"/>
      <c r="BG1208" s="150"/>
    </row>
    <row r="1209" spans="3:59" ht="14.6">
      <c r="C1209" s="289"/>
      <c r="D1209" s="150"/>
      <c r="E1209" s="150"/>
      <c r="F1209" s="150"/>
      <c r="G1209" s="150"/>
      <c r="H1209" s="150"/>
      <c r="I1209" s="150"/>
      <c r="J1209" s="150"/>
      <c r="K1209" s="150"/>
      <c r="L1209" s="150"/>
      <c r="M1209" s="150"/>
      <c r="N1209" s="150"/>
      <c r="O1209" s="150"/>
      <c r="P1209" s="150"/>
      <c r="Q1209" s="150"/>
      <c r="R1209" s="150"/>
      <c r="S1209" s="150"/>
      <c r="T1209" s="186"/>
      <c r="U1209" s="186"/>
      <c r="V1209" s="186"/>
      <c r="W1209" s="186"/>
      <c r="X1209" s="186"/>
      <c r="Y1209" s="186"/>
      <c r="Z1209" s="186"/>
      <c r="AA1209" s="186"/>
      <c r="AB1209" s="186"/>
      <c r="AC1209" s="186"/>
      <c r="AD1209" s="186"/>
      <c r="AF1209" s="150"/>
      <c r="AG1209" s="150"/>
      <c r="AH1209" s="150"/>
      <c r="AI1209" s="150"/>
      <c r="AJ1209" s="150"/>
      <c r="AK1209" s="150"/>
      <c r="AL1209" s="150"/>
      <c r="AM1209" s="150"/>
      <c r="AN1209" s="150"/>
      <c r="AO1209" s="150"/>
      <c r="AP1209" s="150"/>
      <c r="AQ1209" s="150"/>
      <c r="AT1209" s="186"/>
      <c r="AU1209" s="186"/>
      <c r="AV1209" s="186"/>
      <c r="AW1209" s="186"/>
      <c r="AX1209" s="186"/>
      <c r="AY1209" s="186"/>
      <c r="AZ1209" s="186"/>
      <c r="BA1209" s="186"/>
      <c r="BB1209" s="186"/>
      <c r="BC1209" s="186"/>
      <c r="BD1209" s="186"/>
      <c r="BE1209" s="186"/>
      <c r="BF1209" s="150"/>
      <c r="BG1209" s="150"/>
    </row>
    <row r="1210" spans="3:59" ht="14.6">
      <c r="C1210" s="289"/>
      <c r="D1210" s="150"/>
      <c r="E1210" s="150"/>
      <c r="F1210" s="150"/>
      <c r="G1210" s="150"/>
      <c r="H1210" s="150"/>
      <c r="I1210" s="150"/>
      <c r="J1210" s="150"/>
      <c r="K1210" s="150"/>
      <c r="L1210" s="150"/>
      <c r="M1210" s="150"/>
      <c r="N1210" s="150"/>
      <c r="O1210" s="150"/>
      <c r="P1210" s="150"/>
      <c r="Q1210" s="150"/>
      <c r="R1210" s="150"/>
      <c r="S1210" s="150"/>
      <c r="T1210" s="186"/>
      <c r="U1210" s="186"/>
      <c r="V1210" s="186"/>
      <c r="W1210" s="186"/>
      <c r="X1210" s="186"/>
      <c r="Y1210" s="186"/>
      <c r="Z1210" s="186"/>
      <c r="AA1210" s="186"/>
      <c r="AB1210" s="186"/>
      <c r="AC1210" s="186"/>
      <c r="AD1210" s="186"/>
      <c r="AF1210" s="150"/>
      <c r="AG1210" s="150"/>
      <c r="AH1210" s="150"/>
      <c r="AI1210" s="150"/>
      <c r="AJ1210" s="150"/>
      <c r="AK1210" s="150"/>
      <c r="AL1210" s="150"/>
      <c r="AM1210" s="150"/>
      <c r="AN1210" s="150"/>
      <c r="AO1210" s="150"/>
      <c r="AP1210" s="150"/>
      <c r="AQ1210" s="150"/>
      <c r="AT1210" s="186"/>
      <c r="AU1210" s="186"/>
      <c r="AV1210" s="186"/>
      <c r="AW1210" s="186"/>
      <c r="AX1210" s="186"/>
      <c r="AY1210" s="186"/>
      <c r="AZ1210" s="186"/>
      <c r="BA1210" s="186"/>
      <c r="BB1210" s="186"/>
      <c r="BC1210" s="186"/>
      <c r="BD1210" s="186"/>
      <c r="BE1210" s="186"/>
      <c r="BF1210" s="150"/>
      <c r="BG1210" s="150"/>
    </row>
    <row r="1211" spans="3:59" ht="14.6">
      <c r="C1211" s="289"/>
      <c r="D1211" s="150"/>
      <c r="E1211" s="150"/>
      <c r="F1211" s="150"/>
      <c r="G1211" s="150"/>
      <c r="H1211" s="150"/>
      <c r="I1211" s="150"/>
      <c r="J1211" s="150"/>
      <c r="K1211" s="150"/>
      <c r="L1211" s="150"/>
      <c r="M1211" s="150"/>
      <c r="N1211" s="150"/>
      <c r="O1211" s="150"/>
      <c r="P1211" s="150"/>
      <c r="Q1211" s="150"/>
      <c r="R1211" s="150"/>
      <c r="S1211" s="150"/>
      <c r="T1211" s="186"/>
      <c r="U1211" s="186"/>
      <c r="V1211" s="186"/>
      <c r="W1211" s="186"/>
      <c r="X1211" s="186"/>
      <c r="Y1211" s="186"/>
      <c r="Z1211" s="186"/>
      <c r="AA1211" s="186"/>
      <c r="AB1211" s="186"/>
      <c r="AC1211" s="186"/>
      <c r="AD1211" s="186"/>
      <c r="AF1211" s="150"/>
      <c r="AG1211" s="150"/>
      <c r="AH1211" s="150"/>
      <c r="AI1211" s="150"/>
      <c r="AJ1211" s="150"/>
      <c r="AK1211" s="150"/>
      <c r="AL1211" s="150"/>
      <c r="AM1211" s="150"/>
      <c r="AN1211" s="150"/>
      <c r="AO1211" s="150"/>
      <c r="AP1211" s="150"/>
      <c r="AQ1211" s="150"/>
      <c r="AT1211" s="186"/>
      <c r="AU1211" s="186"/>
      <c r="AV1211" s="186"/>
      <c r="AW1211" s="186"/>
      <c r="AX1211" s="186"/>
      <c r="AY1211" s="186"/>
      <c r="AZ1211" s="186"/>
      <c r="BA1211" s="186"/>
      <c r="BB1211" s="186"/>
      <c r="BC1211" s="186"/>
      <c r="BD1211" s="186"/>
      <c r="BE1211" s="186"/>
      <c r="BF1211" s="150"/>
      <c r="BG1211" s="150"/>
    </row>
    <row r="1212" spans="3:59" ht="14.6">
      <c r="C1212" s="289"/>
      <c r="D1212" s="150"/>
      <c r="E1212" s="150"/>
      <c r="F1212" s="150"/>
      <c r="G1212" s="150"/>
      <c r="H1212" s="150"/>
      <c r="I1212" s="150"/>
      <c r="J1212" s="150"/>
      <c r="K1212" s="150"/>
      <c r="L1212" s="150"/>
      <c r="M1212" s="150"/>
      <c r="N1212" s="150"/>
      <c r="O1212" s="150"/>
      <c r="P1212" s="150"/>
      <c r="Q1212" s="150"/>
      <c r="R1212" s="150"/>
      <c r="S1212" s="150"/>
      <c r="T1212" s="186"/>
      <c r="U1212" s="186"/>
      <c r="V1212" s="186"/>
      <c r="W1212" s="186"/>
      <c r="X1212" s="186"/>
      <c r="Y1212" s="186"/>
      <c r="Z1212" s="186"/>
      <c r="AA1212" s="186"/>
      <c r="AB1212" s="186"/>
      <c r="AC1212" s="186"/>
      <c r="AD1212" s="186"/>
      <c r="AF1212" s="150"/>
      <c r="AG1212" s="150"/>
      <c r="AH1212" s="150"/>
      <c r="AI1212" s="150"/>
      <c r="AJ1212" s="150"/>
      <c r="AK1212" s="150"/>
      <c r="AL1212" s="150"/>
      <c r="AM1212" s="150"/>
      <c r="AN1212" s="150"/>
      <c r="AO1212" s="150"/>
      <c r="AP1212" s="150"/>
      <c r="AQ1212" s="150"/>
      <c r="AT1212" s="186"/>
      <c r="AU1212" s="186"/>
      <c r="AV1212" s="186"/>
      <c r="AW1212" s="186"/>
      <c r="AX1212" s="186"/>
      <c r="AY1212" s="186"/>
      <c r="AZ1212" s="186"/>
      <c r="BA1212" s="186"/>
      <c r="BB1212" s="186"/>
      <c r="BC1212" s="186"/>
      <c r="BD1212" s="186"/>
      <c r="BE1212" s="186"/>
      <c r="BF1212" s="150"/>
      <c r="BG1212" s="150"/>
    </row>
    <row r="1213" spans="3:59" ht="14.6">
      <c r="C1213" s="289"/>
      <c r="D1213" s="150"/>
      <c r="E1213" s="150"/>
      <c r="F1213" s="150"/>
      <c r="G1213" s="150"/>
      <c r="H1213" s="150"/>
      <c r="I1213" s="150"/>
      <c r="J1213" s="150"/>
      <c r="K1213" s="150"/>
      <c r="L1213" s="150"/>
      <c r="M1213" s="150"/>
      <c r="N1213" s="150"/>
      <c r="O1213" s="150"/>
      <c r="P1213" s="150"/>
      <c r="Q1213" s="150"/>
      <c r="R1213" s="150"/>
      <c r="S1213" s="150"/>
      <c r="T1213" s="186"/>
      <c r="U1213" s="186"/>
      <c r="V1213" s="186"/>
      <c r="W1213" s="186"/>
      <c r="X1213" s="186"/>
      <c r="Y1213" s="186"/>
      <c r="Z1213" s="186"/>
      <c r="AA1213" s="186"/>
      <c r="AB1213" s="186"/>
      <c r="AC1213" s="186"/>
      <c r="AD1213" s="186"/>
      <c r="AF1213" s="150"/>
      <c r="AG1213" s="150"/>
      <c r="AH1213" s="150"/>
      <c r="AI1213" s="150"/>
      <c r="AJ1213" s="150"/>
      <c r="AK1213" s="150"/>
      <c r="AL1213" s="150"/>
      <c r="AM1213" s="150"/>
      <c r="AN1213" s="150"/>
      <c r="AO1213" s="150"/>
      <c r="AP1213" s="150"/>
      <c r="AQ1213" s="150"/>
      <c r="AT1213" s="186"/>
      <c r="AU1213" s="186"/>
      <c r="AV1213" s="186"/>
      <c r="AW1213" s="186"/>
      <c r="AX1213" s="186"/>
      <c r="AY1213" s="186"/>
      <c r="AZ1213" s="186"/>
      <c r="BA1213" s="186"/>
      <c r="BB1213" s="186"/>
      <c r="BC1213" s="186"/>
      <c r="BD1213" s="186"/>
      <c r="BE1213" s="186"/>
      <c r="BF1213" s="150"/>
      <c r="BG1213" s="150"/>
    </row>
    <row r="1214" spans="3:59" ht="14.6">
      <c r="C1214" s="289"/>
      <c r="D1214" s="150"/>
      <c r="E1214" s="150"/>
      <c r="F1214" s="150"/>
      <c r="G1214" s="150"/>
      <c r="H1214" s="150"/>
      <c r="I1214" s="150"/>
      <c r="J1214" s="150"/>
      <c r="K1214" s="150"/>
      <c r="L1214" s="150"/>
      <c r="M1214" s="150"/>
      <c r="N1214" s="150"/>
      <c r="O1214" s="150"/>
      <c r="P1214" s="150"/>
      <c r="Q1214" s="150"/>
      <c r="R1214" s="150"/>
      <c r="S1214" s="150"/>
      <c r="T1214" s="186"/>
      <c r="U1214" s="186"/>
      <c r="V1214" s="186"/>
      <c r="W1214" s="186"/>
      <c r="X1214" s="186"/>
      <c r="Y1214" s="186"/>
      <c r="Z1214" s="186"/>
      <c r="AA1214" s="186"/>
      <c r="AB1214" s="186"/>
      <c r="AC1214" s="186"/>
      <c r="AD1214" s="186"/>
      <c r="AF1214" s="150"/>
      <c r="AG1214" s="150"/>
      <c r="AH1214" s="150"/>
      <c r="AI1214" s="150"/>
      <c r="AJ1214" s="150"/>
      <c r="AK1214" s="150"/>
      <c r="AL1214" s="150"/>
      <c r="AM1214" s="150"/>
      <c r="AN1214" s="150"/>
      <c r="AO1214" s="150"/>
      <c r="AP1214" s="150"/>
      <c r="AQ1214" s="150"/>
      <c r="AT1214" s="186"/>
      <c r="AU1214" s="186"/>
      <c r="AV1214" s="186"/>
      <c r="AW1214" s="186"/>
      <c r="AX1214" s="186"/>
      <c r="AY1214" s="186"/>
      <c r="AZ1214" s="186"/>
      <c r="BA1214" s="186"/>
      <c r="BB1214" s="186"/>
      <c r="BC1214" s="186"/>
      <c r="BD1214" s="186"/>
      <c r="BE1214" s="186"/>
      <c r="BF1214" s="150"/>
      <c r="BG1214" s="150"/>
    </row>
    <row r="1215" spans="3:59" ht="14.6">
      <c r="C1215" s="289"/>
      <c r="D1215" s="150"/>
      <c r="E1215" s="150"/>
      <c r="F1215" s="150"/>
      <c r="G1215" s="150"/>
      <c r="H1215" s="150"/>
      <c r="I1215" s="150"/>
      <c r="J1215" s="150"/>
      <c r="K1215" s="150"/>
      <c r="L1215" s="150"/>
      <c r="M1215" s="150"/>
      <c r="N1215" s="150"/>
      <c r="O1215" s="150"/>
      <c r="P1215" s="150"/>
      <c r="Q1215" s="150"/>
      <c r="R1215" s="150"/>
      <c r="S1215" s="150"/>
      <c r="T1215" s="186"/>
      <c r="U1215" s="186"/>
      <c r="V1215" s="186"/>
      <c r="W1215" s="186"/>
      <c r="X1215" s="186"/>
      <c r="Y1215" s="186"/>
      <c r="Z1215" s="186"/>
      <c r="AA1215" s="186"/>
      <c r="AB1215" s="186"/>
      <c r="AC1215" s="186"/>
      <c r="AD1215" s="186"/>
      <c r="AF1215" s="150"/>
      <c r="AG1215" s="150"/>
      <c r="AH1215" s="150"/>
      <c r="AI1215" s="150"/>
      <c r="AJ1215" s="150"/>
      <c r="AK1215" s="150"/>
      <c r="AL1215" s="150"/>
      <c r="AM1215" s="150"/>
      <c r="AN1215" s="150"/>
      <c r="AO1215" s="150"/>
      <c r="AP1215" s="150"/>
      <c r="AQ1215" s="150"/>
      <c r="AT1215" s="186"/>
      <c r="AU1215" s="186"/>
      <c r="AV1215" s="186"/>
      <c r="AW1215" s="186"/>
      <c r="AX1215" s="186"/>
      <c r="AY1215" s="186"/>
      <c r="AZ1215" s="186"/>
      <c r="BA1215" s="186"/>
      <c r="BB1215" s="186"/>
      <c r="BC1215" s="186"/>
      <c r="BD1215" s="186"/>
      <c r="BE1215" s="186"/>
      <c r="BF1215" s="150"/>
      <c r="BG1215" s="150"/>
    </row>
    <row r="1216" spans="3:59" ht="14.6">
      <c r="C1216" s="289"/>
      <c r="D1216" s="150"/>
      <c r="E1216" s="150"/>
      <c r="F1216" s="150"/>
      <c r="G1216" s="150"/>
      <c r="H1216" s="150"/>
      <c r="I1216" s="150"/>
      <c r="J1216" s="150"/>
      <c r="K1216" s="150"/>
      <c r="L1216" s="150"/>
      <c r="M1216" s="150"/>
      <c r="N1216" s="150"/>
      <c r="O1216" s="150"/>
      <c r="P1216" s="150"/>
      <c r="Q1216" s="150"/>
      <c r="R1216" s="150"/>
      <c r="S1216" s="150"/>
      <c r="T1216" s="186"/>
      <c r="U1216" s="186"/>
      <c r="V1216" s="186"/>
      <c r="W1216" s="186"/>
      <c r="X1216" s="186"/>
      <c r="Y1216" s="186"/>
      <c r="Z1216" s="186"/>
      <c r="AA1216" s="186"/>
      <c r="AB1216" s="186"/>
      <c r="AC1216" s="186"/>
      <c r="AD1216" s="186"/>
      <c r="AF1216" s="150"/>
      <c r="AG1216" s="150"/>
      <c r="AH1216" s="150"/>
      <c r="AI1216" s="150"/>
      <c r="AJ1216" s="150"/>
      <c r="AK1216" s="150"/>
      <c r="AL1216" s="150"/>
      <c r="AM1216" s="150"/>
      <c r="AN1216" s="150"/>
      <c r="AO1216" s="150"/>
      <c r="AP1216" s="150"/>
      <c r="AQ1216" s="150"/>
      <c r="AT1216" s="186"/>
      <c r="AU1216" s="186"/>
      <c r="AV1216" s="186"/>
      <c r="AW1216" s="186"/>
      <c r="AX1216" s="186"/>
      <c r="AY1216" s="186"/>
      <c r="AZ1216" s="186"/>
      <c r="BA1216" s="186"/>
      <c r="BB1216" s="186"/>
      <c r="BC1216" s="186"/>
      <c r="BD1216" s="186"/>
      <c r="BE1216" s="186"/>
      <c r="BF1216" s="150"/>
      <c r="BG1216" s="150"/>
    </row>
    <row r="1217" spans="3:59" ht="14.6">
      <c r="C1217" s="289"/>
      <c r="D1217" s="150"/>
      <c r="E1217" s="150"/>
      <c r="F1217" s="150"/>
      <c r="G1217" s="150"/>
      <c r="H1217" s="150"/>
      <c r="I1217" s="150"/>
      <c r="J1217" s="150"/>
      <c r="K1217" s="150"/>
      <c r="L1217" s="150"/>
      <c r="M1217" s="150"/>
      <c r="N1217" s="150"/>
      <c r="O1217" s="150"/>
      <c r="P1217" s="150"/>
      <c r="Q1217" s="150"/>
      <c r="R1217" s="150"/>
      <c r="S1217" s="150"/>
      <c r="T1217" s="186"/>
      <c r="U1217" s="186"/>
      <c r="V1217" s="186"/>
      <c r="W1217" s="186"/>
      <c r="X1217" s="186"/>
      <c r="Y1217" s="186"/>
      <c r="Z1217" s="186"/>
      <c r="AA1217" s="186"/>
      <c r="AB1217" s="186"/>
      <c r="AC1217" s="186"/>
      <c r="AD1217" s="186"/>
      <c r="AF1217" s="150"/>
      <c r="AG1217" s="150"/>
      <c r="AH1217" s="150"/>
      <c r="AI1217" s="150"/>
      <c r="AJ1217" s="150"/>
      <c r="AK1217" s="150"/>
      <c r="AL1217" s="150"/>
      <c r="AM1217" s="150"/>
      <c r="AN1217" s="150"/>
      <c r="AO1217" s="150"/>
      <c r="AP1217" s="150"/>
      <c r="AQ1217" s="150"/>
      <c r="AT1217" s="186"/>
      <c r="AU1217" s="186"/>
      <c r="AV1217" s="186"/>
      <c r="AW1217" s="186"/>
      <c r="AX1217" s="186"/>
      <c r="AY1217" s="186"/>
      <c r="AZ1217" s="186"/>
      <c r="BA1217" s="186"/>
      <c r="BB1217" s="186"/>
      <c r="BC1217" s="186"/>
      <c r="BD1217" s="186"/>
      <c r="BE1217" s="186"/>
      <c r="BF1217" s="150"/>
      <c r="BG1217" s="150"/>
    </row>
    <row r="1218" spans="3:59" ht="14.6">
      <c r="C1218" s="289"/>
      <c r="D1218" s="150"/>
      <c r="E1218" s="150"/>
      <c r="F1218" s="150"/>
      <c r="G1218" s="150"/>
      <c r="H1218" s="150"/>
      <c r="I1218" s="150"/>
      <c r="J1218" s="150"/>
      <c r="K1218" s="150"/>
      <c r="L1218" s="150"/>
      <c r="M1218" s="150"/>
      <c r="N1218" s="150"/>
      <c r="O1218" s="150"/>
      <c r="P1218" s="150"/>
      <c r="Q1218" s="150"/>
      <c r="R1218" s="150"/>
      <c r="S1218" s="150"/>
      <c r="T1218" s="186"/>
      <c r="U1218" s="186"/>
      <c r="V1218" s="186"/>
      <c r="W1218" s="186"/>
      <c r="X1218" s="186"/>
      <c r="Y1218" s="186"/>
      <c r="Z1218" s="186"/>
      <c r="AA1218" s="186"/>
      <c r="AB1218" s="186"/>
      <c r="AC1218" s="186"/>
      <c r="AD1218" s="186"/>
      <c r="AF1218" s="150"/>
      <c r="AG1218" s="150"/>
      <c r="AH1218" s="150"/>
      <c r="AI1218" s="150"/>
      <c r="AJ1218" s="150"/>
      <c r="AK1218" s="150"/>
      <c r="AL1218" s="150"/>
      <c r="AM1218" s="150"/>
      <c r="AN1218" s="150"/>
      <c r="AO1218" s="150"/>
      <c r="AP1218" s="150"/>
      <c r="AQ1218" s="150"/>
      <c r="AT1218" s="186"/>
      <c r="AU1218" s="186"/>
      <c r="AV1218" s="186"/>
      <c r="AW1218" s="186"/>
      <c r="AX1218" s="186"/>
      <c r="AY1218" s="186"/>
      <c r="AZ1218" s="186"/>
      <c r="BA1218" s="186"/>
      <c r="BB1218" s="186"/>
      <c r="BC1218" s="186"/>
      <c r="BD1218" s="186"/>
      <c r="BE1218" s="186"/>
      <c r="BF1218" s="150"/>
      <c r="BG1218" s="150"/>
    </row>
    <row r="1219" spans="3:59" ht="14.6">
      <c r="C1219" s="289"/>
      <c r="D1219" s="150"/>
      <c r="E1219" s="150"/>
      <c r="F1219" s="150"/>
      <c r="G1219" s="150"/>
      <c r="H1219" s="150"/>
      <c r="I1219" s="150"/>
      <c r="J1219" s="150"/>
      <c r="K1219" s="150"/>
      <c r="L1219" s="150"/>
      <c r="M1219" s="150"/>
      <c r="N1219" s="150"/>
      <c r="O1219" s="150"/>
      <c r="P1219" s="150"/>
      <c r="Q1219" s="150"/>
      <c r="R1219" s="150"/>
      <c r="S1219" s="150"/>
      <c r="T1219" s="186"/>
      <c r="U1219" s="186"/>
      <c r="V1219" s="186"/>
      <c r="W1219" s="186"/>
      <c r="X1219" s="186"/>
      <c r="Y1219" s="186"/>
      <c r="Z1219" s="186"/>
      <c r="AA1219" s="186"/>
      <c r="AB1219" s="186"/>
      <c r="AC1219" s="186"/>
      <c r="AD1219" s="186"/>
      <c r="AF1219" s="150"/>
      <c r="AG1219" s="150"/>
      <c r="AH1219" s="150"/>
      <c r="AI1219" s="150"/>
      <c r="AJ1219" s="150"/>
      <c r="AK1219" s="150"/>
      <c r="AL1219" s="150"/>
      <c r="AM1219" s="150"/>
      <c r="AN1219" s="150"/>
      <c r="AO1219" s="150"/>
      <c r="AP1219" s="150"/>
      <c r="AQ1219" s="150"/>
      <c r="AT1219" s="186"/>
      <c r="AU1219" s="186"/>
      <c r="AV1219" s="186"/>
      <c r="AW1219" s="186"/>
      <c r="AX1219" s="186"/>
      <c r="AY1219" s="186"/>
      <c r="AZ1219" s="186"/>
      <c r="BA1219" s="186"/>
      <c r="BB1219" s="186"/>
      <c r="BC1219" s="186"/>
      <c r="BD1219" s="186"/>
      <c r="BE1219" s="186"/>
      <c r="BF1219" s="150"/>
      <c r="BG1219" s="150"/>
    </row>
    <row r="1220" spans="3:59" ht="14.6">
      <c r="C1220" s="289"/>
      <c r="D1220" s="150"/>
      <c r="E1220" s="150"/>
      <c r="F1220" s="150"/>
      <c r="G1220" s="150"/>
      <c r="H1220" s="150"/>
      <c r="I1220" s="150"/>
      <c r="J1220" s="150"/>
      <c r="K1220" s="150"/>
      <c r="L1220" s="150"/>
      <c r="M1220" s="150"/>
      <c r="N1220" s="150"/>
      <c r="O1220" s="150"/>
      <c r="P1220" s="150"/>
      <c r="Q1220" s="150"/>
      <c r="R1220" s="150"/>
      <c r="S1220" s="150"/>
      <c r="T1220" s="186"/>
      <c r="U1220" s="186"/>
      <c r="V1220" s="186"/>
      <c r="W1220" s="186"/>
      <c r="X1220" s="186"/>
      <c r="Y1220" s="186"/>
      <c r="Z1220" s="186"/>
      <c r="AA1220" s="186"/>
      <c r="AB1220" s="186"/>
      <c r="AC1220" s="186"/>
      <c r="AD1220" s="186"/>
      <c r="AF1220" s="150"/>
      <c r="AG1220" s="150"/>
      <c r="AH1220" s="150"/>
      <c r="AI1220" s="150"/>
      <c r="AJ1220" s="150"/>
      <c r="AK1220" s="150"/>
      <c r="AL1220" s="150"/>
      <c r="AM1220" s="150"/>
      <c r="AN1220" s="150"/>
      <c r="AO1220" s="150"/>
      <c r="AP1220" s="150"/>
      <c r="AQ1220" s="150"/>
      <c r="AT1220" s="186"/>
      <c r="AU1220" s="186"/>
      <c r="AV1220" s="186"/>
      <c r="AW1220" s="186"/>
      <c r="AX1220" s="186"/>
      <c r="AY1220" s="186"/>
      <c r="AZ1220" s="186"/>
      <c r="BA1220" s="186"/>
      <c r="BB1220" s="186"/>
      <c r="BC1220" s="186"/>
      <c r="BD1220" s="186"/>
      <c r="BE1220" s="186"/>
      <c r="BF1220" s="150"/>
      <c r="BG1220" s="150"/>
    </row>
    <row r="1221" spans="3:59" ht="14.6">
      <c r="C1221" s="289"/>
      <c r="D1221" s="150"/>
      <c r="E1221" s="150"/>
      <c r="F1221" s="150"/>
      <c r="G1221" s="150"/>
      <c r="H1221" s="150"/>
      <c r="I1221" s="150"/>
      <c r="J1221" s="150"/>
      <c r="K1221" s="150"/>
      <c r="L1221" s="150"/>
      <c r="M1221" s="150"/>
      <c r="N1221" s="150"/>
      <c r="O1221" s="150"/>
      <c r="P1221" s="150"/>
      <c r="Q1221" s="150"/>
      <c r="R1221" s="150"/>
      <c r="S1221" s="150"/>
      <c r="T1221" s="186"/>
      <c r="U1221" s="186"/>
      <c r="V1221" s="186"/>
      <c r="W1221" s="186"/>
      <c r="X1221" s="186"/>
      <c r="Y1221" s="186"/>
      <c r="Z1221" s="186"/>
      <c r="AA1221" s="186"/>
      <c r="AB1221" s="186"/>
      <c r="AC1221" s="186"/>
      <c r="AD1221" s="186"/>
      <c r="AF1221" s="150"/>
      <c r="AG1221" s="150"/>
      <c r="AH1221" s="150"/>
      <c r="AI1221" s="150"/>
      <c r="AJ1221" s="150"/>
      <c r="AK1221" s="150"/>
      <c r="AL1221" s="150"/>
      <c r="AM1221" s="150"/>
      <c r="AN1221" s="150"/>
      <c r="AO1221" s="150"/>
      <c r="AP1221" s="150"/>
      <c r="AQ1221" s="150"/>
      <c r="AT1221" s="186"/>
      <c r="AU1221" s="186"/>
      <c r="AV1221" s="186"/>
      <c r="AW1221" s="186"/>
      <c r="AX1221" s="186"/>
      <c r="AY1221" s="186"/>
      <c r="AZ1221" s="186"/>
      <c r="BA1221" s="186"/>
      <c r="BB1221" s="186"/>
      <c r="BC1221" s="186"/>
      <c r="BD1221" s="186"/>
      <c r="BE1221" s="186"/>
      <c r="BF1221" s="150"/>
      <c r="BG1221" s="150"/>
    </row>
    <row r="1222" spans="3:59" ht="14.6">
      <c r="C1222" s="289"/>
      <c r="D1222" s="150"/>
      <c r="E1222" s="150"/>
      <c r="F1222" s="150"/>
      <c r="G1222" s="150"/>
      <c r="H1222" s="150"/>
      <c r="I1222" s="150"/>
      <c r="J1222" s="150"/>
      <c r="K1222" s="150"/>
      <c r="L1222" s="150"/>
      <c r="M1222" s="150"/>
      <c r="N1222" s="150"/>
      <c r="O1222" s="150"/>
      <c r="P1222" s="150"/>
      <c r="Q1222" s="150"/>
      <c r="R1222" s="150"/>
      <c r="S1222" s="150"/>
      <c r="T1222" s="186"/>
      <c r="U1222" s="186"/>
      <c r="V1222" s="186"/>
      <c r="W1222" s="186"/>
      <c r="X1222" s="186"/>
      <c r="Y1222" s="186"/>
      <c r="Z1222" s="186"/>
      <c r="AA1222" s="186"/>
      <c r="AB1222" s="186"/>
      <c r="AC1222" s="186"/>
      <c r="AD1222" s="186"/>
      <c r="AF1222" s="150"/>
      <c r="AG1222" s="150"/>
      <c r="AH1222" s="150"/>
      <c r="AI1222" s="150"/>
      <c r="AJ1222" s="150"/>
      <c r="AK1222" s="150"/>
      <c r="AL1222" s="150"/>
      <c r="AM1222" s="150"/>
      <c r="AN1222" s="150"/>
      <c r="AO1222" s="150"/>
      <c r="AP1222" s="150"/>
      <c r="AQ1222" s="150"/>
      <c r="AT1222" s="186"/>
      <c r="AU1222" s="186"/>
      <c r="AV1222" s="186"/>
      <c r="AW1222" s="186"/>
      <c r="AX1222" s="186"/>
      <c r="AY1222" s="186"/>
      <c r="AZ1222" s="186"/>
      <c r="BA1222" s="186"/>
      <c r="BB1222" s="186"/>
      <c r="BC1222" s="186"/>
      <c r="BD1222" s="186"/>
      <c r="BE1222" s="186"/>
      <c r="BF1222" s="150"/>
      <c r="BG1222" s="150"/>
    </row>
    <row r="1223" spans="3:59" ht="14.6">
      <c r="C1223" s="289"/>
      <c r="D1223" s="150"/>
      <c r="E1223" s="150"/>
      <c r="F1223" s="150"/>
      <c r="G1223" s="150"/>
      <c r="H1223" s="150"/>
      <c r="I1223" s="150"/>
      <c r="J1223" s="150"/>
      <c r="K1223" s="150"/>
      <c r="L1223" s="150"/>
      <c r="M1223" s="150"/>
      <c r="N1223" s="150"/>
      <c r="O1223" s="150"/>
      <c r="P1223" s="150"/>
      <c r="Q1223" s="150"/>
      <c r="R1223" s="150"/>
      <c r="S1223" s="150"/>
      <c r="T1223" s="186"/>
      <c r="U1223" s="186"/>
      <c r="V1223" s="186"/>
      <c r="W1223" s="186"/>
      <c r="X1223" s="186"/>
      <c r="Y1223" s="186"/>
      <c r="Z1223" s="186"/>
      <c r="AA1223" s="186"/>
      <c r="AB1223" s="186"/>
      <c r="AC1223" s="186"/>
      <c r="AD1223" s="186"/>
      <c r="AF1223" s="150"/>
      <c r="AG1223" s="150"/>
      <c r="AH1223" s="150"/>
      <c r="AI1223" s="150"/>
      <c r="AJ1223" s="150"/>
      <c r="AK1223" s="150"/>
      <c r="AL1223" s="150"/>
      <c r="AM1223" s="150"/>
      <c r="AN1223" s="150"/>
      <c r="AO1223" s="150"/>
      <c r="AP1223" s="150"/>
      <c r="AQ1223" s="150"/>
      <c r="AT1223" s="186"/>
      <c r="AU1223" s="186"/>
      <c r="AV1223" s="186"/>
      <c r="AW1223" s="186"/>
      <c r="AX1223" s="186"/>
      <c r="AY1223" s="186"/>
      <c r="AZ1223" s="186"/>
      <c r="BA1223" s="186"/>
      <c r="BB1223" s="186"/>
      <c r="BC1223" s="186"/>
      <c r="BD1223" s="186"/>
      <c r="BE1223" s="186"/>
      <c r="BF1223" s="150"/>
      <c r="BG1223" s="150"/>
    </row>
    <row r="1224" spans="3:59" ht="14.6">
      <c r="C1224" s="289"/>
      <c r="D1224" s="150"/>
      <c r="E1224" s="150"/>
      <c r="F1224" s="150"/>
      <c r="G1224" s="150"/>
      <c r="H1224" s="150"/>
      <c r="I1224" s="150"/>
      <c r="J1224" s="150"/>
      <c r="K1224" s="150"/>
      <c r="L1224" s="150"/>
      <c r="M1224" s="150"/>
      <c r="N1224" s="150"/>
      <c r="O1224" s="150"/>
      <c r="P1224" s="150"/>
      <c r="Q1224" s="150"/>
      <c r="R1224" s="150"/>
      <c r="S1224" s="150"/>
      <c r="T1224" s="186"/>
      <c r="U1224" s="186"/>
      <c r="V1224" s="186"/>
      <c r="W1224" s="186"/>
      <c r="X1224" s="186"/>
      <c r="Y1224" s="186"/>
      <c r="Z1224" s="186"/>
      <c r="AA1224" s="186"/>
      <c r="AB1224" s="186"/>
      <c r="AC1224" s="186"/>
      <c r="AD1224" s="186"/>
      <c r="AF1224" s="150"/>
      <c r="AG1224" s="150"/>
      <c r="AH1224" s="150"/>
      <c r="AI1224" s="150"/>
      <c r="AJ1224" s="150"/>
      <c r="AK1224" s="150"/>
      <c r="AL1224" s="150"/>
      <c r="AM1224" s="150"/>
      <c r="AN1224" s="150"/>
      <c r="AO1224" s="150"/>
      <c r="AP1224" s="150"/>
      <c r="AQ1224" s="150"/>
      <c r="AT1224" s="186"/>
      <c r="AU1224" s="186"/>
      <c r="AV1224" s="186"/>
      <c r="AW1224" s="186"/>
      <c r="AX1224" s="186"/>
      <c r="AY1224" s="186"/>
      <c r="AZ1224" s="186"/>
      <c r="BA1224" s="186"/>
      <c r="BB1224" s="186"/>
      <c r="BC1224" s="186"/>
      <c r="BD1224" s="186"/>
      <c r="BE1224" s="186"/>
      <c r="BF1224" s="150"/>
      <c r="BG1224" s="150"/>
    </row>
    <row r="1225" spans="3:59" ht="14.6">
      <c r="C1225" s="289"/>
      <c r="D1225" s="150"/>
      <c r="E1225" s="150"/>
      <c r="F1225" s="150"/>
      <c r="G1225" s="150"/>
      <c r="H1225" s="150"/>
      <c r="I1225" s="150"/>
      <c r="J1225" s="150"/>
      <c r="K1225" s="150"/>
      <c r="L1225" s="150"/>
      <c r="M1225" s="150"/>
      <c r="N1225" s="150"/>
      <c r="O1225" s="150"/>
      <c r="P1225" s="150"/>
      <c r="Q1225" s="150"/>
      <c r="R1225" s="150"/>
      <c r="S1225" s="150"/>
      <c r="T1225" s="186"/>
      <c r="U1225" s="186"/>
      <c r="V1225" s="186"/>
      <c r="W1225" s="186"/>
      <c r="X1225" s="186"/>
      <c r="Y1225" s="186"/>
      <c r="Z1225" s="186"/>
      <c r="AA1225" s="186"/>
      <c r="AB1225" s="186"/>
      <c r="AC1225" s="186"/>
      <c r="AD1225" s="186"/>
      <c r="AF1225" s="150"/>
      <c r="AG1225" s="150"/>
      <c r="AH1225" s="150"/>
      <c r="AI1225" s="150"/>
      <c r="AJ1225" s="150"/>
      <c r="AK1225" s="150"/>
      <c r="AL1225" s="150"/>
      <c r="AM1225" s="150"/>
      <c r="AN1225" s="150"/>
      <c r="AO1225" s="150"/>
      <c r="AP1225" s="150"/>
      <c r="AQ1225" s="150"/>
      <c r="AT1225" s="186"/>
      <c r="AU1225" s="186"/>
      <c r="AV1225" s="186"/>
      <c r="AW1225" s="186"/>
      <c r="AX1225" s="186"/>
      <c r="AY1225" s="186"/>
      <c r="AZ1225" s="186"/>
      <c r="BA1225" s="186"/>
      <c r="BB1225" s="186"/>
      <c r="BC1225" s="186"/>
      <c r="BD1225" s="186"/>
      <c r="BE1225" s="186"/>
      <c r="BF1225" s="150"/>
      <c r="BG1225" s="150"/>
    </row>
    <row r="1226" spans="3:59" ht="14.6">
      <c r="C1226" s="289"/>
      <c r="D1226" s="150"/>
      <c r="E1226" s="150"/>
      <c r="F1226" s="150"/>
      <c r="G1226" s="150"/>
      <c r="H1226" s="150"/>
      <c r="I1226" s="150"/>
      <c r="J1226" s="150"/>
      <c r="K1226" s="150"/>
      <c r="L1226" s="150"/>
      <c r="M1226" s="150"/>
      <c r="N1226" s="150"/>
      <c r="O1226" s="150"/>
      <c r="P1226" s="150"/>
      <c r="Q1226" s="150"/>
      <c r="R1226" s="150"/>
      <c r="S1226" s="150"/>
      <c r="T1226" s="186"/>
      <c r="U1226" s="186"/>
      <c r="V1226" s="186"/>
      <c r="W1226" s="186"/>
      <c r="X1226" s="186"/>
      <c r="Y1226" s="186"/>
      <c r="Z1226" s="186"/>
      <c r="AA1226" s="186"/>
      <c r="AB1226" s="186"/>
      <c r="AC1226" s="186"/>
      <c r="AD1226" s="186"/>
      <c r="AF1226" s="150"/>
      <c r="AG1226" s="150"/>
      <c r="AH1226" s="150"/>
      <c r="AI1226" s="150"/>
      <c r="AJ1226" s="150"/>
      <c r="AK1226" s="150"/>
      <c r="AL1226" s="150"/>
      <c r="AM1226" s="150"/>
      <c r="AN1226" s="150"/>
      <c r="AO1226" s="150"/>
      <c r="AP1226" s="150"/>
      <c r="AQ1226" s="150"/>
      <c r="AT1226" s="186"/>
      <c r="AU1226" s="186"/>
      <c r="AV1226" s="186"/>
      <c r="AW1226" s="186"/>
      <c r="AX1226" s="186"/>
      <c r="AY1226" s="186"/>
      <c r="AZ1226" s="186"/>
      <c r="BA1226" s="186"/>
      <c r="BB1226" s="186"/>
      <c r="BC1226" s="186"/>
      <c r="BD1226" s="186"/>
      <c r="BE1226" s="186"/>
      <c r="BF1226" s="150"/>
      <c r="BG1226" s="150"/>
    </row>
    <row r="1227" spans="3:59" ht="14.6">
      <c r="C1227" s="289"/>
      <c r="D1227" s="150"/>
      <c r="E1227" s="150"/>
      <c r="F1227" s="150"/>
      <c r="G1227" s="150"/>
      <c r="H1227" s="150"/>
      <c r="I1227" s="150"/>
      <c r="J1227" s="150"/>
      <c r="K1227" s="150"/>
      <c r="L1227" s="150"/>
      <c r="M1227" s="150"/>
      <c r="N1227" s="150"/>
      <c r="O1227" s="150"/>
      <c r="P1227" s="150"/>
      <c r="Q1227" s="150"/>
      <c r="R1227" s="150"/>
      <c r="S1227" s="150"/>
      <c r="T1227" s="186"/>
      <c r="U1227" s="186"/>
      <c r="V1227" s="186"/>
      <c r="W1227" s="186"/>
      <c r="X1227" s="186"/>
      <c r="Y1227" s="186"/>
      <c r="Z1227" s="186"/>
      <c r="AA1227" s="186"/>
      <c r="AB1227" s="186"/>
      <c r="AC1227" s="186"/>
      <c r="AD1227" s="186"/>
      <c r="AF1227" s="150"/>
      <c r="AG1227" s="150"/>
      <c r="AH1227" s="150"/>
      <c r="AI1227" s="150"/>
      <c r="AJ1227" s="150"/>
      <c r="AK1227" s="150"/>
      <c r="AL1227" s="150"/>
      <c r="AM1227" s="150"/>
      <c r="AN1227" s="150"/>
      <c r="AO1227" s="150"/>
      <c r="AP1227" s="150"/>
      <c r="AQ1227" s="150"/>
      <c r="AT1227" s="186"/>
      <c r="AU1227" s="186"/>
      <c r="AV1227" s="186"/>
      <c r="AW1227" s="186"/>
      <c r="AX1227" s="186"/>
      <c r="AY1227" s="186"/>
      <c r="AZ1227" s="186"/>
      <c r="BA1227" s="186"/>
      <c r="BB1227" s="186"/>
      <c r="BC1227" s="186"/>
      <c r="BD1227" s="186"/>
      <c r="BE1227" s="186"/>
      <c r="BF1227" s="150"/>
      <c r="BG1227" s="150"/>
    </row>
    <row r="1228" spans="3:59" ht="14.6">
      <c r="C1228" s="289"/>
      <c r="D1228" s="150"/>
      <c r="E1228" s="150"/>
      <c r="F1228" s="150"/>
      <c r="G1228" s="150"/>
      <c r="H1228" s="150"/>
      <c r="I1228" s="150"/>
      <c r="J1228" s="150"/>
      <c r="K1228" s="150"/>
      <c r="L1228" s="150"/>
      <c r="M1228" s="150"/>
      <c r="N1228" s="150"/>
      <c r="O1228" s="150"/>
      <c r="P1228" s="150"/>
      <c r="Q1228" s="150"/>
      <c r="R1228" s="150"/>
      <c r="S1228" s="150"/>
      <c r="T1228" s="186"/>
      <c r="U1228" s="186"/>
      <c r="V1228" s="186"/>
      <c r="W1228" s="186"/>
      <c r="X1228" s="186"/>
      <c r="Y1228" s="186"/>
      <c r="Z1228" s="186"/>
      <c r="AA1228" s="186"/>
      <c r="AB1228" s="186"/>
      <c r="AC1228" s="186"/>
      <c r="AD1228" s="186"/>
      <c r="AF1228" s="150"/>
      <c r="AG1228" s="150"/>
      <c r="AH1228" s="150"/>
      <c r="AI1228" s="150"/>
      <c r="AJ1228" s="150"/>
      <c r="AK1228" s="150"/>
      <c r="AL1228" s="150"/>
      <c r="AM1228" s="150"/>
      <c r="AN1228" s="150"/>
      <c r="AO1228" s="150"/>
      <c r="AP1228" s="150"/>
      <c r="AQ1228" s="150"/>
      <c r="AT1228" s="186"/>
      <c r="AU1228" s="186"/>
      <c r="AV1228" s="186"/>
      <c r="AW1228" s="186"/>
      <c r="AX1228" s="186"/>
      <c r="AY1228" s="186"/>
      <c r="AZ1228" s="186"/>
      <c r="BA1228" s="186"/>
      <c r="BB1228" s="186"/>
      <c r="BC1228" s="186"/>
      <c r="BD1228" s="186"/>
      <c r="BE1228" s="186"/>
      <c r="BF1228" s="150"/>
      <c r="BG1228" s="150"/>
    </row>
    <row r="1229" spans="3:59" ht="14.6">
      <c r="C1229" s="289"/>
      <c r="D1229" s="150"/>
      <c r="E1229" s="150"/>
      <c r="F1229" s="150"/>
      <c r="G1229" s="150"/>
      <c r="H1229" s="150"/>
      <c r="I1229" s="150"/>
      <c r="J1229" s="150"/>
      <c r="K1229" s="150"/>
      <c r="L1229" s="150"/>
      <c r="M1229" s="150"/>
      <c r="N1229" s="150"/>
      <c r="O1229" s="150"/>
      <c r="P1229" s="150"/>
      <c r="Q1229" s="150"/>
      <c r="R1229" s="150"/>
      <c r="S1229" s="150"/>
      <c r="T1229" s="186"/>
      <c r="U1229" s="186"/>
      <c r="V1229" s="186"/>
      <c r="W1229" s="186"/>
      <c r="X1229" s="186"/>
      <c r="Y1229" s="186"/>
      <c r="Z1229" s="186"/>
      <c r="AA1229" s="186"/>
      <c r="AB1229" s="186"/>
      <c r="AC1229" s="186"/>
      <c r="AD1229" s="186"/>
      <c r="AF1229" s="150"/>
      <c r="AG1229" s="150"/>
      <c r="AH1229" s="150"/>
      <c r="AI1229" s="150"/>
      <c r="AJ1229" s="150"/>
      <c r="AK1229" s="150"/>
      <c r="AL1229" s="150"/>
      <c r="AM1229" s="150"/>
      <c r="AN1229" s="150"/>
      <c r="AO1229" s="150"/>
      <c r="AP1229" s="150"/>
      <c r="AQ1229" s="150"/>
      <c r="AT1229" s="186"/>
      <c r="AU1229" s="186"/>
      <c r="AV1229" s="186"/>
      <c r="AW1229" s="186"/>
      <c r="AX1229" s="186"/>
      <c r="AY1229" s="186"/>
      <c r="AZ1229" s="186"/>
      <c r="BA1229" s="186"/>
      <c r="BB1229" s="186"/>
      <c r="BC1229" s="186"/>
      <c r="BD1229" s="186"/>
      <c r="BE1229" s="186"/>
      <c r="BF1229" s="150"/>
      <c r="BG1229" s="150"/>
    </row>
    <row r="1230" spans="3:59" ht="14.6">
      <c r="C1230" s="289"/>
      <c r="D1230" s="150"/>
      <c r="E1230" s="150"/>
      <c r="F1230" s="150"/>
      <c r="G1230" s="150"/>
      <c r="H1230" s="150"/>
      <c r="I1230" s="150"/>
      <c r="J1230" s="150"/>
      <c r="K1230" s="150"/>
      <c r="L1230" s="150"/>
      <c r="M1230" s="150"/>
      <c r="N1230" s="150"/>
      <c r="O1230" s="150"/>
      <c r="P1230" s="150"/>
      <c r="Q1230" s="150"/>
      <c r="R1230" s="150"/>
      <c r="S1230" s="150"/>
      <c r="T1230" s="186"/>
      <c r="U1230" s="186"/>
      <c r="V1230" s="186"/>
      <c r="W1230" s="186"/>
      <c r="X1230" s="186"/>
      <c r="Y1230" s="186"/>
      <c r="Z1230" s="186"/>
      <c r="AA1230" s="186"/>
      <c r="AB1230" s="186"/>
      <c r="AC1230" s="186"/>
      <c r="AD1230" s="186"/>
      <c r="AF1230" s="150"/>
      <c r="AG1230" s="150"/>
      <c r="AH1230" s="150"/>
      <c r="AI1230" s="150"/>
      <c r="AJ1230" s="150"/>
      <c r="AK1230" s="150"/>
      <c r="AL1230" s="150"/>
      <c r="AM1230" s="150"/>
      <c r="AN1230" s="150"/>
      <c r="AO1230" s="150"/>
      <c r="AP1230" s="150"/>
      <c r="AQ1230" s="150"/>
      <c r="AT1230" s="186"/>
      <c r="AU1230" s="186"/>
      <c r="AV1230" s="186"/>
      <c r="AW1230" s="186"/>
      <c r="AX1230" s="186"/>
      <c r="AY1230" s="186"/>
      <c r="AZ1230" s="186"/>
      <c r="BA1230" s="186"/>
      <c r="BB1230" s="186"/>
      <c r="BC1230" s="186"/>
      <c r="BD1230" s="186"/>
      <c r="BE1230" s="186"/>
      <c r="BF1230" s="150"/>
      <c r="BG1230" s="150"/>
    </row>
    <row r="1231" spans="3:59" ht="14.6">
      <c r="C1231" s="289"/>
      <c r="D1231" s="150"/>
      <c r="E1231" s="150"/>
      <c r="F1231" s="150"/>
      <c r="G1231" s="150"/>
      <c r="H1231" s="150"/>
      <c r="I1231" s="150"/>
      <c r="J1231" s="150"/>
      <c r="K1231" s="150"/>
      <c r="L1231" s="150"/>
      <c r="M1231" s="150"/>
      <c r="N1231" s="150"/>
      <c r="O1231" s="150"/>
      <c r="P1231" s="150"/>
      <c r="Q1231" s="150"/>
      <c r="R1231" s="150"/>
      <c r="S1231" s="150"/>
      <c r="T1231" s="186"/>
      <c r="U1231" s="186"/>
      <c r="V1231" s="186"/>
      <c r="W1231" s="186"/>
      <c r="X1231" s="186"/>
      <c r="Y1231" s="186"/>
      <c r="Z1231" s="186"/>
      <c r="AA1231" s="186"/>
      <c r="AB1231" s="186"/>
      <c r="AC1231" s="186"/>
      <c r="AD1231" s="186"/>
      <c r="AF1231" s="150"/>
      <c r="AG1231" s="150"/>
      <c r="AH1231" s="150"/>
      <c r="AI1231" s="150"/>
      <c r="AJ1231" s="150"/>
      <c r="AK1231" s="150"/>
      <c r="AL1231" s="150"/>
      <c r="AM1231" s="150"/>
      <c r="AN1231" s="150"/>
      <c r="AO1231" s="150"/>
      <c r="AP1231" s="150"/>
      <c r="AQ1231" s="150"/>
      <c r="AT1231" s="186"/>
      <c r="AU1231" s="186"/>
      <c r="AV1231" s="186"/>
      <c r="AW1231" s="186"/>
      <c r="AX1231" s="186"/>
      <c r="AY1231" s="186"/>
      <c r="AZ1231" s="186"/>
      <c r="BA1231" s="186"/>
      <c r="BB1231" s="186"/>
      <c r="BC1231" s="186"/>
      <c r="BD1231" s="186"/>
      <c r="BE1231" s="186"/>
      <c r="BF1231" s="150"/>
      <c r="BG1231" s="150"/>
    </row>
    <row r="1232" spans="3:59" ht="14.6">
      <c r="C1232" s="289"/>
      <c r="D1232" s="150"/>
      <c r="E1232" s="150"/>
      <c r="F1232" s="150"/>
      <c r="G1232" s="150"/>
      <c r="H1232" s="150"/>
      <c r="I1232" s="150"/>
      <c r="J1232" s="150"/>
      <c r="K1232" s="150"/>
      <c r="L1232" s="150"/>
      <c r="M1232" s="150"/>
      <c r="N1232" s="150"/>
      <c r="O1232" s="150"/>
      <c r="P1232" s="150"/>
      <c r="Q1232" s="150"/>
      <c r="R1232" s="150"/>
      <c r="S1232" s="150"/>
      <c r="T1232" s="186"/>
      <c r="U1232" s="186"/>
      <c r="V1232" s="186"/>
      <c r="W1232" s="186"/>
      <c r="X1232" s="186"/>
      <c r="Y1232" s="186"/>
      <c r="Z1232" s="186"/>
      <c r="AA1232" s="186"/>
      <c r="AB1232" s="186"/>
      <c r="AC1232" s="186"/>
      <c r="AD1232" s="186"/>
      <c r="AF1232" s="150"/>
      <c r="AG1232" s="150"/>
      <c r="AH1232" s="150"/>
      <c r="AI1232" s="150"/>
      <c r="AJ1232" s="150"/>
      <c r="AK1232" s="150"/>
      <c r="AL1232" s="150"/>
      <c r="AM1232" s="150"/>
      <c r="AN1232" s="150"/>
      <c r="AO1232" s="150"/>
      <c r="AP1232" s="150"/>
      <c r="AQ1232" s="150"/>
      <c r="AT1232" s="186"/>
      <c r="AU1232" s="186"/>
      <c r="AV1232" s="186"/>
      <c r="AW1232" s="186"/>
      <c r="AX1232" s="186"/>
      <c r="AY1232" s="186"/>
      <c r="AZ1232" s="186"/>
      <c r="BA1232" s="186"/>
      <c r="BB1232" s="186"/>
      <c r="BC1232" s="186"/>
      <c r="BD1232" s="186"/>
      <c r="BE1232" s="186"/>
      <c r="BF1232" s="150"/>
      <c r="BG1232" s="150"/>
    </row>
    <row r="1233" spans="3:59" ht="14.6">
      <c r="C1233" s="289"/>
      <c r="D1233" s="150"/>
      <c r="E1233" s="150"/>
      <c r="F1233" s="150"/>
      <c r="G1233" s="150"/>
      <c r="H1233" s="150"/>
      <c r="I1233" s="150"/>
      <c r="J1233" s="150"/>
      <c r="K1233" s="150"/>
      <c r="L1233" s="150"/>
      <c r="M1233" s="150"/>
      <c r="N1233" s="150"/>
      <c r="O1233" s="150"/>
      <c r="P1233" s="150"/>
      <c r="Q1233" s="150"/>
      <c r="R1233" s="150"/>
      <c r="S1233" s="150"/>
      <c r="T1233" s="186"/>
      <c r="U1233" s="186"/>
      <c r="V1233" s="186"/>
      <c r="W1233" s="186"/>
      <c r="X1233" s="186"/>
      <c r="Y1233" s="186"/>
      <c r="Z1233" s="186"/>
      <c r="AA1233" s="186"/>
      <c r="AB1233" s="186"/>
      <c r="AC1233" s="186"/>
      <c r="AD1233" s="186"/>
      <c r="AF1233" s="150"/>
      <c r="AG1233" s="150"/>
      <c r="AH1233" s="150"/>
      <c r="AI1233" s="150"/>
      <c r="AJ1233" s="150"/>
      <c r="AK1233" s="150"/>
      <c r="AL1233" s="150"/>
      <c r="AM1233" s="150"/>
      <c r="AN1233" s="150"/>
      <c r="AO1233" s="150"/>
      <c r="AP1233" s="150"/>
      <c r="AQ1233" s="150"/>
      <c r="AT1233" s="186"/>
      <c r="AU1233" s="186"/>
      <c r="AV1233" s="186"/>
      <c r="AW1233" s="186"/>
      <c r="AX1233" s="186"/>
      <c r="AY1233" s="186"/>
      <c r="AZ1233" s="186"/>
      <c r="BA1233" s="186"/>
      <c r="BB1233" s="186"/>
      <c r="BC1233" s="186"/>
      <c r="BD1233" s="186"/>
      <c r="BE1233" s="186"/>
      <c r="BF1233" s="150"/>
      <c r="BG1233" s="150"/>
    </row>
    <row r="1234" spans="3:59" ht="14.6">
      <c r="C1234" s="289"/>
      <c r="D1234" s="150"/>
      <c r="E1234" s="150"/>
      <c r="F1234" s="150"/>
      <c r="G1234" s="150"/>
      <c r="H1234" s="150"/>
      <c r="I1234" s="150"/>
      <c r="J1234" s="150"/>
      <c r="K1234" s="150"/>
      <c r="L1234" s="150"/>
      <c r="M1234" s="150"/>
      <c r="N1234" s="150"/>
      <c r="O1234" s="150"/>
      <c r="P1234" s="150"/>
      <c r="Q1234" s="150"/>
      <c r="R1234" s="150"/>
      <c r="S1234" s="150"/>
      <c r="T1234" s="186"/>
      <c r="U1234" s="186"/>
      <c r="V1234" s="186"/>
      <c r="W1234" s="186"/>
      <c r="X1234" s="186"/>
      <c r="Y1234" s="186"/>
      <c r="Z1234" s="186"/>
      <c r="AA1234" s="186"/>
      <c r="AB1234" s="186"/>
      <c r="AC1234" s="186"/>
      <c r="AD1234" s="186"/>
      <c r="AF1234" s="150"/>
      <c r="AG1234" s="150"/>
      <c r="AH1234" s="150"/>
      <c r="AI1234" s="150"/>
      <c r="AJ1234" s="150"/>
      <c r="AK1234" s="150"/>
      <c r="AL1234" s="150"/>
      <c r="AM1234" s="150"/>
      <c r="AN1234" s="150"/>
      <c r="AO1234" s="150"/>
      <c r="AP1234" s="150"/>
      <c r="AQ1234" s="150"/>
      <c r="AT1234" s="186"/>
      <c r="AU1234" s="186"/>
      <c r="AV1234" s="186"/>
      <c r="AW1234" s="186"/>
      <c r="AX1234" s="186"/>
      <c r="AY1234" s="186"/>
      <c r="AZ1234" s="186"/>
      <c r="BA1234" s="186"/>
      <c r="BB1234" s="186"/>
      <c r="BC1234" s="186"/>
      <c r="BD1234" s="186"/>
      <c r="BE1234" s="186"/>
      <c r="BF1234" s="150"/>
      <c r="BG1234" s="150"/>
    </row>
    <row r="1235" spans="3:59" ht="14.6">
      <c r="C1235" s="289"/>
      <c r="D1235" s="150"/>
      <c r="E1235" s="150"/>
      <c r="F1235" s="150"/>
      <c r="G1235" s="150"/>
      <c r="H1235" s="150"/>
      <c r="I1235" s="150"/>
      <c r="J1235" s="150"/>
      <c r="K1235" s="150"/>
      <c r="L1235" s="150"/>
      <c r="M1235" s="150"/>
      <c r="N1235" s="150"/>
      <c r="O1235" s="150"/>
      <c r="P1235" s="150"/>
      <c r="Q1235" s="150"/>
      <c r="R1235" s="150"/>
      <c r="S1235" s="150"/>
      <c r="T1235" s="186"/>
      <c r="U1235" s="186"/>
      <c r="V1235" s="186"/>
      <c r="W1235" s="186"/>
      <c r="X1235" s="186"/>
      <c r="Y1235" s="186"/>
      <c r="Z1235" s="186"/>
      <c r="AA1235" s="186"/>
      <c r="AB1235" s="186"/>
      <c r="AC1235" s="186"/>
      <c r="AD1235" s="186"/>
      <c r="AF1235" s="150"/>
      <c r="AG1235" s="150"/>
      <c r="AH1235" s="150"/>
      <c r="AI1235" s="150"/>
      <c r="AJ1235" s="150"/>
      <c r="AK1235" s="150"/>
      <c r="AL1235" s="150"/>
      <c r="AM1235" s="150"/>
      <c r="AN1235" s="150"/>
      <c r="AO1235" s="150"/>
      <c r="AP1235" s="150"/>
      <c r="AQ1235" s="150"/>
      <c r="AT1235" s="186"/>
      <c r="AU1235" s="186"/>
      <c r="AV1235" s="186"/>
      <c r="AW1235" s="186"/>
      <c r="AX1235" s="186"/>
      <c r="AY1235" s="186"/>
      <c r="AZ1235" s="186"/>
      <c r="BA1235" s="186"/>
      <c r="BB1235" s="186"/>
      <c r="BC1235" s="186"/>
      <c r="BD1235" s="186"/>
      <c r="BE1235" s="186"/>
      <c r="BF1235" s="150"/>
      <c r="BG1235" s="150"/>
    </row>
    <row r="1236" spans="3:59" ht="14.6">
      <c r="C1236" s="289"/>
      <c r="D1236" s="150"/>
      <c r="E1236" s="150"/>
      <c r="F1236" s="150"/>
      <c r="G1236" s="150"/>
      <c r="H1236" s="150"/>
      <c r="I1236" s="150"/>
      <c r="J1236" s="150"/>
      <c r="K1236" s="150"/>
      <c r="L1236" s="150"/>
      <c r="M1236" s="150"/>
      <c r="N1236" s="150"/>
      <c r="O1236" s="150"/>
      <c r="P1236" s="150"/>
      <c r="Q1236" s="150"/>
      <c r="R1236" s="150"/>
      <c r="S1236" s="150"/>
      <c r="T1236" s="186"/>
      <c r="U1236" s="186"/>
      <c r="V1236" s="186"/>
      <c r="W1236" s="186"/>
      <c r="X1236" s="186"/>
      <c r="Y1236" s="186"/>
      <c r="Z1236" s="186"/>
      <c r="AA1236" s="186"/>
      <c r="AB1236" s="186"/>
      <c r="AC1236" s="186"/>
      <c r="AD1236" s="186"/>
      <c r="AF1236" s="150"/>
      <c r="AG1236" s="150"/>
      <c r="AH1236" s="150"/>
      <c r="AI1236" s="150"/>
      <c r="AJ1236" s="150"/>
      <c r="AK1236" s="150"/>
      <c r="AL1236" s="150"/>
      <c r="AM1236" s="150"/>
      <c r="AN1236" s="150"/>
      <c r="AO1236" s="150"/>
      <c r="AP1236" s="150"/>
      <c r="AQ1236" s="150"/>
      <c r="AT1236" s="186"/>
      <c r="AU1236" s="186"/>
      <c r="AV1236" s="186"/>
      <c r="AW1236" s="186"/>
      <c r="AX1236" s="186"/>
      <c r="AY1236" s="186"/>
      <c r="AZ1236" s="186"/>
      <c r="BA1236" s="186"/>
      <c r="BB1236" s="186"/>
      <c r="BC1236" s="186"/>
      <c r="BD1236" s="186"/>
      <c r="BE1236" s="186"/>
      <c r="BF1236" s="150"/>
      <c r="BG1236" s="150"/>
    </row>
    <row r="1237" spans="3:59" ht="14.6">
      <c r="C1237" s="289"/>
      <c r="D1237" s="150"/>
      <c r="E1237" s="150"/>
      <c r="F1237" s="150"/>
      <c r="G1237" s="150"/>
      <c r="H1237" s="150"/>
      <c r="I1237" s="150"/>
      <c r="J1237" s="150"/>
      <c r="K1237" s="150"/>
      <c r="L1237" s="150"/>
      <c r="M1237" s="150"/>
      <c r="N1237" s="150"/>
      <c r="O1237" s="150"/>
      <c r="P1237" s="150"/>
      <c r="Q1237" s="150"/>
      <c r="R1237" s="150"/>
      <c r="S1237" s="150"/>
      <c r="T1237" s="186"/>
      <c r="U1237" s="186"/>
      <c r="V1237" s="186"/>
      <c r="W1237" s="186"/>
      <c r="X1237" s="186"/>
      <c r="Y1237" s="186"/>
      <c r="Z1237" s="186"/>
      <c r="AA1237" s="186"/>
      <c r="AB1237" s="186"/>
      <c r="AC1237" s="186"/>
      <c r="AD1237" s="186"/>
      <c r="AF1237" s="150"/>
      <c r="AG1237" s="150"/>
      <c r="AH1237" s="150"/>
      <c r="AI1237" s="150"/>
      <c r="AJ1237" s="150"/>
      <c r="AK1237" s="150"/>
      <c r="AL1237" s="150"/>
      <c r="AM1237" s="150"/>
      <c r="AN1237" s="150"/>
      <c r="AO1237" s="150"/>
      <c r="AP1237" s="150"/>
      <c r="AQ1237" s="150"/>
      <c r="AT1237" s="186"/>
      <c r="AU1237" s="186"/>
      <c r="AV1237" s="186"/>
      <c r="AW1237" s="186"/>
      <c r="AX1237" s="186"/>
      <c r="AY1237" s="186"/>
      <c r="AZ1237" s="186"/>
      <c r="BA1237" s="186"/>
      <c r="BB1237" s="186"/>
      <c r="BC1237" s="186"/>
      <c r="BD1237" s="186"/>
      <c r="BE1237" s="186"/>
      <c r="BF1237" s="150"/>
      <c r="BG1237" s="150"/>
    </row>
    <row r="1238" spans="3:59" ht="14.6">
      <c r="C1238" s="289"/>
      <c r="D1238" s="150"/>
      <c r="E1238" s="150"/>
      <c r="F1238" s="150"/>
      <c r="G1238" s="150"/>
      <c r="H1238" s="150"/>
      <c r="I1238" s="150"/>
      <c r="J1238" s="150"/>
      <c r="K1238" s="150"/>
      <c r="L1238" s="150"/>
      <c r="M1238" s="150"/>
      <c r="N1238" s="150"/>
      <c r="O1238" s="150"/>
      <c r="P1238" s="150"/>
      <c r="Q1238" s="150"/>
      <c r="R1238" s="150"/>
      <c r="S1238" s="150"/>
      <c r="T1238" s="186"/>
      <c r="U1238" s="186"/>
      <c r="V1238" s="186"/>
      <c r="W1238" s="186"/>
      <c r="X1238" s="186"/>
      <c r="Y1238" s="186"/>
      <c r="Z1238" s="186"/>
      <c r="AA1238" s="186"/>
      <c r="AB1238" s="186"/>
      <c r="AC1238" s="186"/>
      <c r="AD1238" s="186"/>
      <c r="AF1238" s="150"/>
      <c r="AG1238" s="150"/>
      <c r="AH1238" s="150"/>
      <c r="AI1238" s="150"/>
      <c r="AJ1238" s="150"/>
      <c r="AK1238" s="150"/>
      <c r="AL1238" s="150"/>
      <c r="AM1238" s="150"/>
      <c r="AN1238" s="150"/>
      <c r="AO1238" s="150"/>
      <c r="AP1238" s="150"/>
      <c r="AQ1238" s="150"/>
      <c r="AT1238" s="186"/>
      <c r="AU1238" s="186"/>
      <c r="AV1238" s="186"/>
      <c r="AW1238" s="186"/>
      <c r="AX1238" s="186"/>
      <c r="AY1238" s="186"/>
      <c r="AZ1238" s="186"/>
      <c r="BA1238" s="186"/>
      <c r="BB1238" s="186"/>
      <c r="BC1238" s="186"/>
      <c r="BD1238" s="186"/>
      <c r="BE1238" s="186"/>
      <c r="BF1238" s="150"/>
      <c r="BG1238" s="150"/>
    </row>
    <row r="1239" spans="3:59" ht="14.6">
      <c r="C1239" s="289"/>
      <c r="D1239" s="150"/>
      <c r="E1239" s="150"/>
      <c r="F1239" s="150"/>
      <c r="G1239" s="150"/>
      <c r="H1239" s="150"/>
      <c r="I1239" s="150"/>
      <c r="J1239" s="150"/>
      <c r="K1239" s="150"/>
      <c r="L1239" s="150"/>
      <c r="M1239" s="150"/>
      <c r="N1239" s="150"/>
      <c r="O1239" s="150"/>
      <c r="P1239" s="150"/>
      <c r="Q1239" s="150"/>
      <c r="R1239" s="150"/>
      <c r="S1239" s="150"/>
      <c r="T1239" s="186"/>
      <c r="U1239" s="186"/>
      <c r="V1239" s="186"/>
      <c r="W1239" s="186"/>
      <c r="X1239" s="186"/>
      <c r="Y1239" s="186"/>
      <c r="Z1239" s="186"/>
      <c r="AA1239" s="186"/>
      <c r="AB1239" s="186"/>
      <c r="AC1239" s="186"/>
      <c r="AD1239" s="186"/>
      <c r="AF1239" s="150"/>
      <c r="AG1239" s="150"/>
      <c r="AH1239" s="150"/>
      <c r="AI1239" s="150"/>
      <c r="AJ1239" s="150"/>
      <c r="AK1239" s="150"/>
      <c r="AL1239" s="150"/>
      <c r="AM1239" s="150"/>
      <c r="AN1239" s="150"/>
      <c r="AO1239" s="150"/>
      <c r="AP1239" s="150"/>
      <c r="AQ1239" s="150"/>
      <c r="AT1239" s="186"/>
      <c r="AU1239" s="186"/>
      <c r="AV1239" s="186"/>
      <c r="AW1239" s="186"/>
      <c r="AX1239" s="186"/>
      <c r="AY1239" s="186"/>
      <c r="AZ1239" s="186"/>
      <c r="BA1239" s="186"/>
      <c r="BB1239" s="186"/>
      <c r="BC1239" s="186"/>
      <c r="BD1239" s="186"/>
      <c r="BE1239" s="186"/>
      <c r="BF1239" s="150"/>
      <c r="BG1239" s="150"/>
    </row>
    <row r="1240" spans="3:59" ht="14.6">
      <c r="C1240" s="289"/>
      <c r="D1240" s="150"/>
      <c r="E1240" s="150"/>
      <c r="F1240" s="150"/>
      <c r="G1240" s="150"/>
      <c r="H1240" s="150"/>
      <c r="I1240" s="150"/>
      <c r="J1240" s="150"/>
      <c r="K1240" s="150"/>
      <c r="L1240" s="150"/>
      <c r="M1240" s="150"/>
      <c r="N1240" s="150"/>
      <c r="O1240" s="150"/>
      <c r="P1240" s="150"/>
      <c r="Q1240" s="150"/>
      <c r="R1240" s="150"/>
      <c r="S1240" s="150"/>
      <c r="T1240" s="186"/>
      <c r="U1240" s="186"/>
      <c r="V1240" s="186"/>
      <c r="W1240" s="186"/>
      <c r="X1240" s="186"/>
      <c r="Y1240" s="186"/>
      <c r="Z1240" s="186"/>
      <c r="AA1240" s="186"/>
      <c r="AB1240" s="186"/>
      <c r="AC1240" s="186"/>
      <c r="AD1240" s="186"/>
      <c r="AF1240" s="150"/>
      <c r="AG1240" s="150"/>
      <c r="AH1240" s="150"/>
      <c r="AI1240" s="150"/>
      <c r="AJ1240" s="150"/>
      <c r="AK1240" s="150"/>
      <c r="AL1240" s="150"/>
      <c r="AM1240" s="150"/>
      <c r="AN1240" s="150"/>
      <c r="AO1240" s="150"/>
      <c r="AP1240" s="150"/>
      <c r="AQ1240" s="150"/>
      <c r="AT1240" s="186"/>
      <c r="AU1240" s="186"/>
      <c r="AV1240" s="186"/>
      <c r="AW1240" s="186"/>
      <c r="AX1240" s="186"/>
      <c r="AY1240" s="186"/>
      <c r="AZ1240" s="186"/>
      <c r="BA1240" s="186"/>
      <c r="BB1240" s="186"/>
      <c r="BC1240" s="186"/>
      <c r="BD1240" s="186"/>
      <c r="BE1240" s="186"/>
      <c r="BF1240" s="150"/>
      <c r="BG1240" s="150"/>
    </row>
    <row r="1241" spans="3:59" ht="14.6">
      <c r="C1241" s="289"/>
      <c r="D1241" s="150"/>
      <c r="E1241" s="150"/>
      <c r="F1241" s="150"/>
      <c r="G1241" s="150"/>
      <c r="H1241" s="150"/>
      <c r="I1241" s="150"/>
      <c r="J1241" s="150"/>
      <c r="K1241" s="150"/>
      <c r="L1241" s="150"/>
      <c r="M1241" s="150"/>
      <c r="N1241" s="150"/>
      <c r="O1241" s="150"/>
      <c r="P1241" s="150"/>
      <c r="Q1241" s="150"/>
      <c r="R1241" s="150"/>
      <c r="S1241" s="150"/>
      <c r="T1241" s="186"/>
      <c r="U1241" s="186"/>
      <c r="V1241" s="186"/>
      <c r="W1241" s="186"/>
      <c r="X1241" s="186"/>
      <c r="Y1241" s="186"/>
      <c r="Z1241" s="186"/>
      <c r="AA1241" s="186"/>
      <c r="AB1241" s="186"/>
      <c r="AC1241" s="186"/>
      <c r="AD1241" s="186"/>
      <c r="AF1241" s="150"/>
      <c r="AG1241" s="150"/>
      <c r="AH1241" s="150"/>
      <c r="AI1241" s="150"/>
      <c r="AJ1241" s="150"/>
      <c r="AK1241" s="150"/>
      <c r="AL1241" s="150"/>
      <c r="AM1241" s="150"/>
      <c r="AN1241" s="150"/>
      <c r="AO1241" s="150"/>
      <c r="AP1241" s="150"/>
      <c r="AQ1241" s="150"/>
      <c r="AT1241" s="186"/>
      <c r="AU1241" s="186"/>
      <c r="AV1241" s="186"/>
      <c r="AW1241" s="186"/>
      <c r="AX1241" s="186"/>
      <c r="AY1241" s="186"/>
      <c r="AZ1241" s="186"/>
      <c r="BA1241" s="186"/>
      <c r="BB1241" s="186"/>
      <c r="BC1241" s="186"/>
      <c r="BD1241" s="186"/>
      <c r="BE1241" s="186"/>
      <c r="BF1241" s="150"/>
      <c r="BG1241" s="150"/>
    </row>
    <row r="1242" spans="3:59" ht="14.6">
      <c r="C1242" s="289"/>
      <c r="D1242" s="150"/>
      <c r="E1242" s="150"/>
      <c r="F1242" s="150"/>
      <c r="G1242" s="150"/>
      <c r="H1242" s="150"/>
      <c r="I1242" s="150"/>
      <c r="J1242" s="150"/>
      <c r="K1242" s="150"/>
      <c r="L1242" s="150"/>
      <c r="M1242" s="150"/>
      <c r="N1242" s="150"/>
      <c r="O1242" s="150"/>
      <c r="P1242" s="150"/>
      <c r="Q1242" s="150"/>
      <c r="R1242" s="150"/>
      <c r="S1242" s="150"/>
      <c r="T1242" s="186"/>
      <c r="U1242" s="186"/>
      <c r="V1242" s="186"/>
      <c r="W1242" s="186"/>
      <c r="X1242" s="186"/>
      <c r="Y1242" s="186"/>
      <c r="Z1242" s="186"/>
      <c r="AA1242" s="186"/>
      <c r="AB1242" s="186"/>
      <c r="AC1242" s="186"/>
      <c r="AD1242" s="186"/>
      <c r="AF1242" s="150"/>
      <c r="AG1242" s="150"/>
      <c r="AH1242" s="150"/>
      <c r="AI1242" s="150"/>
      <c r="AJ1242" s="150"/>
      <c r="AK1242" s="150"/>
      <c r="AL1242" s="150"/>
      <c r="AM1242" s="150"/>
      <c r="AN1242" s="150"/>
      <c r="AO1242" s="150"/>
      <c r="AP1242" s="150"/>
      <c r="AQ1242" s="150"/>
      <c r="AT1242" s="186"/>
      <c r="AU1242" s="186"/>
      <c r="AV1242" s="186"/>
      <c r="AW1242" s="186"/>
      <c r="AX1242" s="186"/>
      <c r="AY1242" s="186"/>
      <c r="AZ1242" s="186"/>
      <c r="BA1242" s="186"/>
      <c r="BB1242" s="186"/>
      <c r="BC1242" s="186"/>
      <c r="BD1242" s="186"/>
      <c r="BE1242" s="186"/>
      <c r="BF1242" s="150"/>
      <c r="BG1242" s="150"/>
    </row>
    <row r="1243" spans="3:59" ht="14.6">
      <c r="C1243" s="289"/>
      <c r="D1243" s="150"/>
      <c r="E1243" s="150"/>
      <c r="F1243" s="150"/>
      <c r="G1243" s="150"/>
      <c r="H1243" s="150"/>
      <c r="I1243" s="150"/>
      <c r="J1243" s="150"/>
      <c r="K1243" s="150"/>
      <c r="L1243" s="150"/>
      <c r="M1243" s="150"/>
      <c r="N1243" s="150"/>
      <c r="O1243" s="150"/>
      <c r="P1243" s="150"/>
      <c r="Q1243" s="150"/>
      <c r="R1243" s="150"/>
      <c r="S1243" s="150"/>
      <c r="T1243" s="186"/>
      <c r="U1243" s="186"/>
      <c r="V1243" s="186"/>
      <c r="W1243" s="186"/>
      <c r="X1243" s="186"/>
      <c r="Y1243" s="186"/>
      <c r="Z1243" s="186"/>
      <c r="AA1243" s="186"/>
      <c r="AB1243" s="186"/>
      <c r="AC1243" s="186"/>
      <c r="AD1243" s="186"/>
      <c r="AF1243" s="150"/>
      <c r="AG1243" s="150"/>
      <c r="AH1243" s="150"/>
      <c r="AI1243" s="150"/>
      <c r="AJ1243" s="150"/>
      <c r="AK1243" s="150"/>
      <c r="AL1243" s="150"/>
      <c r="AM1243" s="150"/>
      <c r="AN1243" s="150"/>
      <c r="AO1243" s="150"/>
      <c r="AP1243" s="150"/>
      <c r="AQ1243" s="150"/>
      <c r="AT1243" s="186"/>
      <c r="AU1243" s="186"/>
      <c r="AV1243" s="186"/>
      <c r="AW1243" s="186"/>
      <c r="AX1243" s="186"/>
      <c r="AY1243" s="186"/>
      <c r="AZ1243" s="186"/>
      <c r="BA1243" s="186"/>
      <c r="BB1243" s="186"/>
      <c r="BC1243" s="186"/>
      <c r="BD1243" s="186"/>
      <c r="BE1243" s="186"/>
      <c r="BF1243" s="150"/>
      <c r="BG1243" s="150"/>
    </row>
    <row r="1244" spans="3:59" ht="14.6">
      <c r="C1244" s="289"/>
      <c r="D1244" s="150"/>
      <c r="E1244" s="150"/>
      <c r="F1244" s="150"/>
      <c r="G1244" s="150"/>
      <c r="H1244" s="150"/>
      <c r="I1244" s="150"/>
      <c r="J1244" s="150"/>
      <c r="K1244" s="150"/>
      <c r="L1244" s="150"/>
      <c r="M1244" s="150"/>
      <c r="N1244" s="150"/>
      <c r="O1244" s="150"/>
      <c r="P1244" s="150"/>
      <c r="Q1244" s="150"/>
      <c r="R1244" s="150"/>
      <c r="S1244" s="150"/>
      <c r="T1244" s="186"/>
      <c r="U1244" s="186"/>
      <c r="V1244" s="186"/>
      <c r="W1244" s="186"/>
      <c r="X1244" s="186"/>
      <c r="Y1244" s="186"/>
      <c r="Z1244" s="186"/>
      <c r="AA1244" s="186"/>
      <c r="AB1244" s="186"/>
      <c r="AC1244" s="186"/>
      <c r="AD1244" s="186"/>
      <c r="AF1244" s="150"/>
      <c r="AG1244" s="150"/>
      <c r="AH1244" s="150"/>
      <c r="AI1244" s="150"/>
      <c r="AJ1244" s="150"/>
      <c r="AK1244" s="150"/>
      <c r="AL1244" s="150"/>
      <c r="AM1244" s="150"/>
      <c r="AN1244" s="150"/>
      <c r="AO1244" s="150"/>
      <c r="AP1244" s="150"/>
      <c r="AQ1244" s="150"/>
      <c r="AT1244" s="186"/>
      <c r="AU1244" s="186"/>
      <c r="AV1244" s="186"/>
      <c r="AW1244" s="186"/>
      <c r="AX1244" s="186"/>
      <c r="AY1244" s="186"/>
      <c r="AZ1244" s="186"/>
      <c r="BA1244" s="186"/>
      <c r="BB1244" s="186"/>
      <c r="BC1244" s="186"/>
      <c r="BD1244" s="186"/>
      <c r="BE1244" s="186"/>
      <c r="BF1244" s="150"/>
      <c r="BG1244" s="150"/>
    </row>
    <row r="1245" spans="3:59" ht="14.6">
      <c r="C1245" s="289"/>
      <c r="D1245" s="150"/>
      <c r="E1245" s="150"/>
      <c r="F1245" s="150"/>
      <c r="G1245" s="150"/>
      <c r="H1245" s="150"/>
      <c r="I1245" s="150"/>
      <c r="J1245" s="150"/>
      <c r="K1245" s="150"/>
      <c r="L1245" s="150"/>
      <c r="M1245" s="150"/>
      <c r="N1245" s="150"/>
      <c r="O1245" s="150"/>
      <c r="P1245" s="150"/>
      <c r="Q1245" s="150"/>
      <c r="R1245" s="150"/>
      <c r="S1245" s="150"/>
      <c r="T1245" s="186"/>
      <c r="U1245" s="186"/>
      <c r="V1245" s="186"/>
      <c r="W1245" s="186"/>
      <c r="X1245" s="186"/>
      <c r="Y1245" s="186"/>
      <c r="Z1245" s="186"/>
      <c r="AA1245" s="186"/>
      <c r="AB1245" s="186"/>
      <c r="AC1245" s="186"/>
      <c r="AD1245" s="186"/>
      <c r="AF1245" s="150"/>
      <c r="AG1245" s="150"/>
      <c r="AH1245" s="150"/>
      <c r="AI1245" s="150"/>
      <c r="AJ1245" s="150"/>
      <c r="AK1245" s="150"/>
      <c r="AL1245" s="150"/>
      <c r="AM1245" s="150"/>
      <c r="AN1245" s="150"/>
      <c r="AO1245" s="150"/>
      <c r="AP1245" s="150"/>
      <c r="AQ1245" s="150"/>
      <c r="AT1245" s="186"/>
      <c r="AU1245" s="186"/>
      <c r="AV1245" s="186"/>
      <c r="AW1245" s="186"/>
      <c r="AX1245" s="186"/>
      <c r="AY1245" s="186"/>
      <c r="AZ1245" s="186"/>
      <c r="BA1245" s="186"/>
      <c r="BB1245" s="186"/>
      <c r="BC1245" s="186"/>
      <c r="BD1245" s="186"/>
      <c r="BE1245" s="186"/>
      <c r="BF1245" s="150"/>
      <c r="BG1245" s="150"/>
    </row>
    <row r="1246" spans="3:59" ht="14.6">
      <c r="C1246" s="289"/>
      <c r="D1246" s="150"/>
      <c r="E1246" s="150"/>
      <c r="F1246" s="150"/>
      <c r="G1246" s="150"/>
      <c r="H1246" s="150"/>
      <c r="I1246" s="150"/>
      <c r="J1246" s="150"/>
      <c r="K1246" s="150"/>
      <c r="L1246" s="150"/>
      <c r="M1246" s="150"/>
      <c r="N1246" s="150"/>
      <c r="O1246" s="150"/>
      <c r="P1246" s="150"/>
      <c r="Q1246" s="150"/>
      <c r="R1246" s="150"/>
      <c r="S1246" s="150"/>
      <c r="T1246" s="186"/>
      <c r="U1246" s="186"/>
      <c r="V1246" s="186"/>
      <c r="W1246" s="186"/>
      <c r="X1246" s="186"/>
      <c r="Y1246" s="186"/>
      <c r="Z1246" s="186"/>
      <c r="AA1246" s="186"/>
      <c r="AB1246" s="186"/>
      <c r="AC1246" s="186"/>
      <c r="AD1246" s="186"/>
      <c r="AF1246" s="150"/>
      <c r="AG1246" s="150"/>
      <c r="AH1246" s="150"/>
      <c r="AI1246" s="150"/>
      <c r="AJ1246" s="150"/>
      <c r="AK1246" s="150"/>
      <c r="AL1246" s="150"/>
      <c r="AM1246" s="150"/>
      <c r="AN1246" s="150"/>
      <c r="AO1246" s="150"/>
      <c r="AP1246" s="150"/>
      <c r="AQ1246" s="150"/>
      <c r="AT1246" s="186"/>
      <c r="AU1246" s="186"/>
      <c r="AV1246" s="186"/>
      <c r="AW1246" s="186"/>
      <c r="AX1246" s="186"/>
      <c r="AY1246" s="186"/>
      <c r="AZ1246" s="186"/>
      <c r="BA1246" s="186"/>
      <c r="BB1246" s="186"/>
      <c r="BC1246" s="186"/>
      <c r="BD1246" s="186"/>
      <c r="BE1246" s="186"/>
      <c r="BF1246" s="150"/>
      <c r="BG1246" s="150"/>
    </row>
    <row r="1247" spans="3:59" ht="14.6">
      <c r="C1247" s="289"/>
      <c r="D1247" s="150"/>
      <c r="E1247" s="150"/>
      <c r="F1247" s="150"/>
      <c r="G1247" s="150"/>
      <c r="H1247" s="150"/>
      <c r="I1247" s="150"/>
      <c r="J1247" s="150"/>
      <c r="K1247" s="150"/>
      <c r="L1247" s="150"/>
      <c r="M1247" s="150"/>
      <c r="N1247" s="150"/>
      <c r="O1247" s="150"/>
      <c r="P1247" s="150"/>
      <c r="Q1247" s="150"/>
      <c r="R1247" s="150"/>
      <c r="S1247" s="150"/>
      <c r="T1247" s="186"/>
      <c r="U1247" s="186"/>
      <c r="V1247" s="186"/>
      <c r="W1247" s="186"/>
      <c r="X1247" s="186"/>
      <c r="Y1247" s="186"/>
      <c r="Z1247" s="186"/>
      <c r="AA1247" s="186"/>
      <c r="AB1247" s="186"/>
      <c r="AC1247" s="186"/>
      <c r="AD1247" s="186"/>
      <c r="AF1247" s="150"/>
      <c r="AG1247" s="150"/>
      <c r="AH1247" s="150"/>
      <c r="AI1247" s="150"/>
      <c r="AJ1247" s="150"/>
      <c r="AK1247" s="150"/>
      <c r="AL1247" s="150"/>
      <c r="AM1247" s="150"/>
      <c r="AN1247" s="150"/>
      <c r="AO1247" s="150"/>
      <c r="AP1247" s="150"/>
      <c r="AQ1247" s="150"/>
      <c r="AT1247" s="186"/>
      <c r="AU1247" s="186"/>
      <c r="AV1247" s="186"/>
      <c r="AW1247" s="186"/>
      <c r="AX1247" s="186"/>
      <c r="AY1247" s="186"/>
      <c r="AZ1247" s="186"/>
      <c r="BA1247" s="186"/>
      <c r="BB1247" s="186"/>
      <c r="BC1247" s="186"/>
      <c r="BD1247" s="186"/>
      <c r="BE1247" s="186"/>
      <c r="BF1247" s="150"/>
      <c r="BG1247" s="150"/>
    </row>
    <row r="1248" spans="3:59" ht="14.6">
      <c r="C1248" s="289"/>
      <c r="D1248" s="150"/>
      <c r="E1248" s="150"/>
      <c r="F1248" s="150"/>
      <c r="G1248" s="150"/>
      <c r="H1248" s="150"/>
      <c r="I1248" s="150"/>
      <c r="J1248" s="150"/>
      <c r="K1248" s="150"/>
      <c r="L1248" s="150"/>
      <c r="M1248" s="150"/>
      <c r="N1248" s="150"/>
      <c r="O1248" s="150"/>
      <c r="P1248" s="150"/>
      <c r="Q1248" s="150"/>
      <c r="R1248" s="150"/>
      <c r="S1248" s="150"/>
      <c r="T1248" s="186"/>
      <c r="U1248" s="186"/>
      <c r="V1248" s="186"/>
      <c r="W1248" s="186"/>
      <c r="X1248" s="186"/>
      <c r="Y1248" s="186"/>
      <c r="Z1248" s="186"/>
      <c r="AA1248" s="186"/>
      <c r="AB1248" s="186"/>
      <c r="AC1248" s="186"/>
      <c r="AD1248" s="186"/>
      <c r="AF1248" s="150"/>
      <c r="AG1248" s="150"/>
      <c r="AH1248" s="150"/>
      <c r="AI1248" s="150"/>
      <c r="AJ1248" s="150"/>
      <c r="AK1248" s="150"/>
      <c r="AL1248" s="150"/>
      <c r="AM1248" s="150"/>
      <c r="AN1248" s="150"/>
      <c r="AO1248" s="150"/>
      <c r="AP1248" s="150"/>
      <c r="AQ1248" s="150"/>
      <c r="AT1248" s="186"/>
      <c r="AU1248" s="186"/>
      <c r="AV1248" s="186"/>
      <c r="AW1248" s="186"/>
      <c r="AX1248" s="186"/>
      <c r="AY1248" s="186"/>
      <c r="AZ1248" s="186"/>
      <c r="BA1248" s="186"/>
      <c r="BB1248" s="186"/>
      <c r="BC1248" s="186"/>
      <c r="BD1248" s="186"/>
      <c r="BE1248" s="186"/>
      <c r="BF1248" s="150"/>
      <c r="BG1248" s="150"/>
    </row>
    <row r="1249" spans="3:59" ht="14.6">
      <c r="C1249" s="289"/>
      <c r="D1249" s="150"/>
      <c r="E1249" s="150"/>
      <c r="F1249" s="150"/>
      <c r="G1249" s="150"/>
      <c r="H1249" s="150"/>
      <c r="I1249" s="150"/>
      <c r="J1249" s="150"/>
      <c r="K1249" s="150"/>
      <c r="L1249" s="150"/>
      <c r="M1249" s="150"/>
      <c r="N1249" s="150"/>
      <c r="O1249" s="150"/>
      <c r="P1249" s="150"/>
      <c r="Q1249" s="150"/>
      <c r="R1249" s="150"/>
      <c r="S1249" s="150"/>
      <c r="T1249" s="186"/>
      <c r="U1249" s="186"/>
      <c r="V1249" s="186"/>
      <c r="W1249" s="186"/>
      <c r="X1249" s="186"/>
      <c r="Y1249" s="186"/>
      <c r="Z1249" s="186"/>
      <c r="AA1249" s="186"/>
      <c r="AB1249" s="186"/>
      <c r="AC1249" s="186"/>
      <c r="AD1249" s="186"/>
      <c r="AF1249" s="150"/>
      <c r="AG1249" s="150"/>
      <c r="AH1249" s="150"/>
      <c r="AI1249" s="150"/>
      <c r="AJ1249" s="150"/>
      <c r="AK1249" s="150"/>
      <c r="AL1249" s="150"/>
      <c r="AM1249" s="150"/>
      <c r="AN1249" s="150"/>
      <c r="AO1249" s="150"/>
      <c r="AP1249" s="150"/>
      <c r="AQ1249" s="150"/>
      <c r="AT1249" s="186"/>
      <c r="AU1249" s="186"/>
      <c r="AV1249" s="186"/>
      <c r="AW1249" s="186"/>
      <c r="AX1249" s="186"/>
      <c r="AY1249" s="186"/>
      <c r="AZ1249" s="186"/>
      <c r="BA1249" s="186"/>
      <c r="BB1249" s="186"/>
      <c r="BC1249" s="186"/>
      <c r="BD1249" s="186"/>
      <c r="BE1249" s="186"/>
      <c r="BF1249" s="150"/>
      <c r="BG1249" s="150"/>
    </row>
    <row r="1250" spans="3:59" ht="14.6">
      <c r="C1250" s="289"/>
      <c r="D1250" s="150"/>
      <c r="E1250" s="150"/>
      <c r="F1250" s="150"/>
      <c r="G1250" s="150"/>
      <c r="H1250" s="150"/>
      <c r="I1250" s="150"/>
      <c r="J1250" s="150"/>
      <c r="K1250" s="150"/>
      <c r="L1250" s="150"/>
      <c r="M1250" s="150"/>
      <c r="N1250" s="150"/>
      <c r="O1250" s="150"/>
      <c r="P1250" s="150"/>
      <c r="Q1250" s="150"/>
      <c r="R1250" s="150"/>
      <c r="S1250" s="150"/>
      <c r="T1250" s="186"/>
      <c r="U1250" s="186"/>
      <c r="V1250" s="186"/>
      <c r="W1250" s="186"/>
      <c r="X1250" s="186"/>
      <c r="Y1250" s="186"/>
      <c r="Z1250" s="186"/>
      <c r="AA1250" s="186"/>
      <c r="AB1250" s="186"/>
      <c r="AC1250" s="186"/>
      <c r="AD1250" s="186"/>
      <c r="AF1250" s="150"/>
      <c r="AG1250" s="150"/>
      <c r="AH1250" s="150"/>
      <c r="AI1250" s="150"/>
      <c r="AJ1250" s="150"/>
      <c r="AK1250" s="150"/>
      <c r="AL1250" s="150"/>
      <c r="AM1250" s="150"/>
      <c r="AN1250" s="150"/>
      <c r="AO1250" s="150"/>
      <c r="AP1250" s="150"/>
      <c r="AQ1250" s="150"/>
      <c r="AT1250" s="186"/>
      <c r="AU1250" s="186"/>
      <c r="AV1250" s="186"/>
      <c r="AW1250" s="186"/>
      <c r="AX1250" s="186"/>
      <c r="AY1250" s="186"/>
      <c r="AZ1250" s="186"/>
      <c r="BA1250" s="186"/>
      <c r="BB1250" s="186"/>
      <c r="BC1250" s="186"/>
      <c r="BD1250" s="186"/>
      <c r="BE1250" s="186"/>
      <c r="BF1250" s="150"/>
      <c r="BG1250" s="150"/>
    </row>
    <row r="1251" spans="3:59" ht="14.6">
      <c r="C1251" s="289"/>
      <c r="D1251" s="150"/>
      <c r="E1251" s="150"/>
      <c r="F1251" s="150"/>
      <c r="G1251" s="150"/>
      <c r="H1251" s="150"/>
      <c r="I1251" s="150"/>
      <c r="J1251" s="150"/>
      <c r="K1251" s="150"/>
      <c r="L1251" s="150"/>
      <c r="M1251" s="150"/>
      <c r="N1251" s="150"/>
      <c r="O1251" s="150"/>
      <c r="P1251" s="150"/>
      <c r="Q1251" s="150"/>
      <c r="R1251" s="150"/>
      <c r="S1251" s="150"/>
      <c r="T1251" s="186"/>
      <c r="U1251" s="186"/>
      <c r="V1251" s="186"/>
      <c r="W1251" s="186"/>
      <c r="X1251" s="186"/>
      <c r="Y1251" s="186"/>
      <c r="Z1251" s="186"/>
      <c r="AA1251" s="186"/>
      <c r="AB1251" s="186"/>
      <c r="AC1251" s="186"/>
      <c r="AD1251" s="186"/>
      <c r="AF1251" s="150"/>
      <c r="AG1251" s="150"/>
      <c r="AH1251" s="150"/>
      <c r="AI1251" s="150"/>
      <c r="AJ1251" s="150"/>
      <c r="AK1251" s="150"/>
      <c r="AL1251" s="150"/>
      <c r="AM1251" s="150"/>
      <c r="AN1251" s="150"/>
      <c r="AO1251" s="150"/>
      <c r="AP1251" s="150"/>
      <c r="AQ1251" s="150"/>
      <c r="AT1251" s="186"/>
      <c r="AU1251" s="186"/>
      <c r="AV1251" s="186"/>
      <c r="AW1251" s="186"/>
      <c r="AX1251" s="186"/>
      <c r="AY1251" s="186"/>
      <c r="AZ1251" s="186"/>
      <c r="BA1251" s="186"/>
      <c r="BB1251" s="186"/>
      <c r="BC1251" s="186"/>
      <c r="BD1251" s="186"/>
      <c r="BE1251" s="186"/>
      <c r="BF1251" s="150"/>
      <c r="BG1251" s="150"/>
    </row>
    <row r="1252" spans="3:59" ht="14.6">
      <c r="C1252" s="289"/>
      <c r="D1252" s="150"/>
      <c r="E1252" s="150"/>
      <c r="F1252" s="150"/>
      <c r="G1252" s="150"/>
      <c r="H1252" s="150"/>
      <c r="I1252" s="150"/>
      <c r="J1252" s="150"/>
      <c r="K1252" s="150"/>
      <c r="L1252" s="150"/>
      <c r="M1252" s="150"/>
      <c r="N1252" s="150"/>
      <c r="O1252" s="150"/>
      <c r="P1252" s="150"/>
      <c r="Q1252" s="150"/>
      <c r="R1252" s="150"/>
      <c r="S1252" s="150"/>
      <c r="T1252" s="186"/>
      <c r="U1252" s="186"/>
      <c r="V1252" s="186"/>
      <c r="W1252" s="186"/>
      <c r="X1252" s="186"/>
      <c r="Y1252" s="186"/>
      <c r="Z1252" s="186"/>
      <c r="AA1252" s="186"/>
      <c r="AB1252" s="186"/>
      <c r="AC1252" s="186"/>
      <c r="AD1252" s="186"/>
      <c r="AF1252" s="150"/>
      <c r="AG1252" s="150"/>
      <c r="AH1252" s="150"/>
      <c r="AI1252" s="150"/>
      <c r="AJ1252" s="150"/>
      <c r="AK1252" s="150"/>
      <c r="AL1252" s="150"/>
      <c r="AM1252" s="150"/>
      <c r="AN1252" s="150"/>
      <c r="AO1252" s="150"/>
      <c r="AP1252" s="150"/>
      <c r="AQ1252" s="150"/>
      <c r="AT1252" s="186"/>
      <c r="AU1252" s="186"/>
      <c r="AV1252" s="186"/>
      <c r="AW1252" s="186"/>
      <c r="AX1252" s="186"/>
      <c r="AY1252" s="186"/>
      <c r="AZ1252" s="186"/>
      <c r="BA1252" s="186"/>
      <c r="BB1252" s="186"/>
      <c r="BC1252" s="186"/>
      <c r="BD1252" s="186"/>
      <c r="BE1252" s="186"/>
      <c r="BF1252" s="150"/>
      <c r="BG1252" s="150"/>
    </row>
    <row r="1253" spans="3:59" ht="14.6">
      <c r="C1253" s="289"/>
      <c r="D1253" s="150"/>
      <c r="E1253" s="150"/>
      <c r="F1253" s="150"/>
      <c r="G1253" s="150"/>
      <c r="H1253" s="150"/>
      <c r="I1253" s="150"/>
      <c r="J1253" s="150"/>
      <c r="K1253" s="150"/>
      <c r="L1253" s="150"/>
      <c r="M1253" s="150"/>
      <c r="N1253" s="150"/>
      <c r="O1253" s="150"/>
      <c r="P1253" s="150"/>
      <c r="Q1253" s="150"/>
      <c r="R1253" s="150"/>
      <c r="S1253" s="150"/>
      <c r="T1253" s="186"/>
      <c r="U1253" s="186"/>
      <c r="V1253" s="186"/>
      <c r="W1253" s="186"/>
      <c r="X1253" s="186"/>
      <c r="Y1253" s="186"/>
      <c r="Z1253" s="186"/>
      <c r="AA1253" s="186"/>
      <c r="AB1253" s="186"/>
      <c r="AC1253" s="186"/>
      <c r="AD1253" s="186"/>
      <c r="AF1253" s="150"/>
      <c r="AG1253" s="150"/>
      <c r="AH1253" s="150"/>
      <c r="AI1253" s="150"/>
      <c r="AJ1253" s="150"/>
      <c r="AK1253" s="150"/>
      <c r="AL1253" s="150"/>
      <c r="AM1253" s="150"/>
      <c r="AN1253" s="150"/>
      <c r="AO1253" s="150"/>
      <c r="AP1253" s="150"/>
      <c r="AQ1253" s="150"/>
      <c r="AT1253" s="186"/>
      <c r="AU1253" s="186"/>
      <c r="AV1253" s="186"/>
      <c r="AW1253" s="186"/>
      <c r="AX1253" s="186"/>
      <c r="AY1253" s="186"/>
      <c r="AZ1253" s="186"/>
      <c r="BA1253" s="186"/>
      <c r="BB1253" s="186"/>
      <c r="BC1253" s="186"/>
      <c r="BD1253" s="186"/>
      <c r="BE1253" s="186"/>
      <c r="BF1253" s="150"/>
      <c r="BG1253" s="150"/>
    </row>
    <row r="1254" spans="3:59" ht="14.6">
      <c r="C1254" s="289"/>
      <c r="D1254" s="150"/>
      <c r="E1254" s="150"/>
      <c r="F1254" s="150"/>
      <c r="G1254" s="150"/>
      <c r="H1254" s="150"/>
      <c r="I1254" s="150"/>
      <c r="J1254" s="150"/>
      <c r="K1254" s="150"/>
      <c r="L1254" s="150"/>
      <c r="M1254" s="150"/>
      <c r="N1254" s="150"/>
      <c r="O1254" s="150"/>
      <c r="P1254" s="150"/>
      <c r="Q1254" s="150"/>
      <c r="R1254" s="150"/>
      <c r="S1254" s="150"/>
      <c r="T1254" s="186"/>
      <c r="U1254" s="186"/>
      <c r="V1254" s="186"/>
      <c r="W1254" s="186"/>
      <c r="X1254" s="186"/>
      <c r="Y1254" s="186"/>
      <c r="Z1254" s="186"/>
      <c r="AA1254" s="186"/>
      <c r="AB1254" s="186"/>
      <c r="AC1254" s="186"/>
      <c r="AD1254" s="186"/>
      <c r="AF1254" s="150"/>
      <c r="AG1254" s="150"/>
      <c r="AH1254" s="150"/>
      <c r="AI1254" s="150"/>
      <c r="AJ1254" s="150"/>
      <c r="AK1254" s="150"/>
      <c r="AL1254" s="150"/>
      <c r="AM1254" s="150"/>
      <c r="AN1254" s="150"/>
      <c r="AO1254" s="150"/>
      <c r="AP1254" s="150"/>
      <c r="AQ1254" s="150"/>
      <c r="AT1254" s="186"/>
      <c r="AU1254" s="186"/>
      <c r="AV1254" s="186"/>
      <c r="AW1254" s="186"/>
      <c r="AX1254" s="186"/>
      <c r="AY1254" s="186"/>
      <c r="AZ1254" s="186"/>
      <c r="BA1254" s="186"/>
      <c r="BB1254" s="186"/>
      <c r="BC1254" s="186"/>
      <c r="BD1254" s="186"/>
      <c r="BE1254" s="186"/>
      <c r="BF1254" s="150"/>
      <c r="BG1254" s="150"/>
    </row>
    <row r="1255" spans="3:59" ht="14.6">
      <c r="C1255" s="289"/>
      <c r="D1255" s="150"/>
      <c r="E1255" s="150"/>
      <c r="F1255" s="150"/>
      <c r="G1255" s="150"/>
      <c r="H1255" s="150"/>
      <c r="I1255" s="150"/>
      <c r="J1255" s="150"/>
      <c r="K1255" s="150"/>
      <c r="L1255" s="150"/>
      <c r="M1255" s="150"/>
      <c r="N1255" s="150"/>
      <c r="O1255" s="150"/>
      <c r="P1255" s="150"/>
      <c r="Q1255" s="150"/>
      <c r="R1255" s="150"/>
      <c r="S1255" s="150"/>
      <c r="T1255" s="186"/>
      <c r="U1255" s="186"/>
      <c r="V1255" s="186"/>
      <c r="W1255" s="186"/>
      <c r="X1255" s="186"/>
      <c r="Y1255" s="186"/>
      <c r="Z1255" s="186"/>
      <c r="AA1255" s="186"/>
      <c r="AB1255" s="186"/>
      <c r="AC1255" s="186"/>
      <c r="AD1255" s="186"/>
      <c r="AF1255" s="150"/>
      <c r="AG1255" s="150"/>
      <c r="AH1255" s="150"/>
      <c r="AI1255" s="150"/>
      <c r="AJ1255" s="150"/>
      <c r="AK1255" s="150"/>
      <c r="AL1255" s="150"/>
      <c r="AM1255" s="150"/>
      <c r="AN1255" s="150"/>
      <c r="AO1255" s="150"/>
      <c r="AP1255" s="150"/>
      <c r="AQ1255" s="150"/>
      <c r="AT1255" s="186"/>
      <c r="AU1255" s="186"/>
      <c r="AV1255" s="186"/>
      <c r="AW1255" s="186"/>
      <c r="AX1255" s="186"/>
      <c r="AY1255" s="186"/>
      <c r="AZ1255" s="186"/>
      <c r="BA1255" s="186"/>
      <c r="BB1255" s="186"/>
      <c r="BC1255" s="186"/>
      <c r="BD1255" s="186"/>
      <c r="BE1255" s="186"/>
      <c r="BF1255" s="150"/>
      <c r="BG1255" s="150"/>
    </row>
    <row r="1256" spans="3:59" ht="14.6">
      <c r="C1256" s="289"/>
      <c r="D1256" s="150"/>
      <c r="E1256" s="150"/>
      <c r="F1256" s="150"/>
      <c r="G1256" s="150"/>
      <c r="H1256" s="150"/>
      <c r="I1256" s="150"/>
      <c r="J1256" s="150"/>
      <c r="K1256" s="150"/>
      <c r="L1256" s="150"/>
      <c r="M1256" s="150"/>
      <c r="N1256" s="150"/>
      <c r="O1256" s="150"/>
      <c r="P1256" s="150"/>
      <c r="Q1256" s="150"/>
      <c r="R1256" s="150"/>
      <c r="S1256" s="150"/>
      <c r="T1256" s="186"/>
      <c r="U1256" s="186"/>
      <c r="V1256" s="186"/>
      <c r="W1256" s="186"/>
      <c r="X1256" s="186"/>
      <c r="Y1256" s="186"/>
      <c r="Z1256" s="186"/>
      <c r="AA1256" s="186"/>
      <c r="AB1256" s="186"/>
      <c r="AC1256" s="186"/>
      <c r="AD1256" s="186"/>
      <c r="AF1256" s="150"/>
      <c r="AG1256" s="150"/>
      <c r="AH1256" s="150"/>
      <c r="AI1256" s="150"/>
      <c r="AJ1256" s="150"/>
      <c r="AK1256" s="150"/>
      <c r="AL1256" s="150"/>
      <c r="AM1256" s="150"/>
      <c r="AN1256" s="150"/>
      <c r="AO1256" s="150"/>
      <c r="AP1256" s="150"/>
      <c r="AQ1256" s="150"/>
      <c r="AT1256" s="186"/>
      <c r="AU1256" s="186"/>
      <c r="AV1256" s="186"/>
      <c r="AW1256" s="186"/>
      <c r="AX1256" s="186"/>
      <c r="AY1256" s="186"/>
      <c r="AZ1256" s="186"/>
      <c r="BA1256" s="186"/>
      <c r="BB1256" s="186"/>
      <c r="BC1256" s="186"/>
      <c r="BD1256" s="186"/>
      <c r="BE1256" s="186"/>
      <c r="BF1256" s="150"/>
      <c r="BG1256" s="150"/>
    </row>
    <row r="1257" spans="3:59" ht="14.6">
      <c r="C1257" s="289"/>
      <c r="D1257" s="150"/>
      <c r="E1257" s="150"/>
      <c r="F1257" s="150"/>
      <c r="G1257" s="150"/>
      <c r="H1257" s="150"/>
      <c r="I1257" s="150"/>
      <c r="J1257" s="150"/>
      <c r="K1257" s="150"/>
      <c r="L1257" s="150"/>
      <c r="M1257" s="150"/>
      <c r="N1257" s="150"/>
      <c r="O1257" s="150"/>
      <c r="P1257" s="150"/>
      <c r="Q1257" s="150"/>
      <c r="R1257" s="150"/>
      <c r="S1257" s="150"/>
      <c r="T1257" s="186"/>
      <c r="U1257" s="186"/>
      <c r="V1257" s="186"/>
      <c r="W1257" s="186"/>
      <c r="X1257" s="186"/>
      <c r="Y1257" s="186"/>
      <c r="Z1257" s="186"/>
      <c r="AA1257" s="186"/>
      <c r="AB1257" s="186"/>
      <c r="AC1257" s="186"/>
      <c r="AD1257" s="186"/>
      <c r="AF1257" s="150"/>
      <c r="AG1257" s="150"/>
      <c r="AH1257" s="150"/>
      <c r="AI1257" s="150"/>
      <c r="AJ1257" s="150"/>
      <c r="AK1257" s="150"/>
      <c r="AL1257" s="150"/>
      <c r="AM1257" s="150"/>
      <c r="AN1257" s="150"/>
      <c r="AO1257" s="150"/>
      <c r="AP1257" s="150"/>
      <c r="AQ1257" s="150"/>
      <c r="AT1257" s="186"/>
      <c r="AU1257" s="186"/>
      <c r="AV1257" s="186"/>
      <c r="AW1257" s="186"/>
      <c r="AX1257" s="186"/>
      <c r="AY1257" s="186"/>
      <c r="AZ1257" s="186"/>
      <c r="BA1257" s="186"/>
      <c r="BB1257" s="186"/>
      <c r="BC1257" s="186"/>
      <c r="BD1257" s="186"/>
      <c r="BE1257" s="186"/>
      <c r="BF1257" s="150"/>
      <c r="BG1257" s="150"/>
    </row>
    <row r="1258" spans="3:59" ht="14.6">
      <c r="C1258" s="289"/>
      <c r="D1258" s="150"/>
      <c r="E1258" s="150"/>
      <c r="F1258" s="150"/>
      <c r="G1258" s="150"/>
      <c r="H1258" s="150"/>
      <c r="I1258" s="150"/>
      <c r="J1258" s="150"/>
      <c r="K1258" s="150"/>
      <c r="L1258" s="150"/>
      <c r="M1258" s="150"/>
      <c r="N1258" s="150"/>
      <c r="O1258" s="150"/>
      <c r="P1258" s="150"/>
      <c r="Q1258" s="150"/>
      <c r="R1258" s="150"/>
      <c r="S1258" s="150"/>
      <c r="T1258" s="186"/>
      <c r="U1258" s="186"/>
      <c r="V1258" s="186"/>
      <c r="W1258" s="186"/>
      <c r="X1258" s="186"/>
      <c r="Y1258" s="186"/>
      <c r="Z1258" s="186"/>
      <c r="AA1258" s="186"/>
      <c r="AB1258" s="186"/>
      <c r="AC1258" s="186"/>
      <c r="AD1258" s="186"/>
      <c r="AF1258" s="150"/>
      <c r="AG1258" s="150"/>
      <c r="AH1258" s="150"/>
      <c r="AI1258" s="150"/>
      <c r="AJ1258" s="150"/>
      <c r="AK1258" s="150"/>
      <c r="AL1258" s="150"/>
      <c r="AM1258" s="150"/>
      <c r="AN1258" s="150"/>
      <c r="AO1258" s="150"/>
      <c r="AP1258" s="150"/>
      <c r="AQ1258" s="150"/>
      <c r="AT1258" s="186"/>
      <c r="AU1258" s="186"/>
      <c r="AV1258" s="186"/>
      <c r="AW1258" s="186"/>
      <c r="AX1258" s="186"/>
      <c r="AY1258" s="186"/>
      <c r="AZ1258" s="186"/>
      <c r="BA1258" s="186"/>
      <c r="BB1258" s="186"/>
      <c r="BC1258" s="186"/>
      <c r="BD1258" s="186"/>
      <c r="BE1258" s="186"/>
      <c r="BF1258" s="150"/>
      <c r="BG1258" s="150"/>
    </row>
    <row r="1259" spans="3:59" ht="14.6">
      <c r="C1259" s="289"/>
      <c r="D1259" s="150"/>
      <c r="E1259" s="150"/>
      <c r="F1259" s="150"/>
      <c r="G1259" s="150"/>
      <c r="H1259" s="150"/>
      <c r="I1259" s="150"/>
      <c r="J1259" s="150"/>
      <c r="K1259" s="150"/>
      <c r="L1259" s="150"/>
      <c r="M1259" s="150"/>
      <c r="N1259" s="150"/>
      <c r="O1259" s="150"/>
      <c r="P1259" s="150"/>
      <c r="Q1259" s="150"/>
      <c r="R1259" s="150"/>
      <c r="S1259" s="150"/>
      <c r="T1259" s="186"/>
      <c r="U1259" s="186"/>
      <c r="V1259" s="186"/>
      <c r="W1259" s="186"/>
      <c r="X1259" s="186"/>
      <c r="Y1259" s="186"/>
      <c r="Z1259" s="186"/>
      <c r="AA1259" s="186"/>
      <c r="AB1259" s="186"/>
      <c r="AC1259" s="186"/>
      <c r="AD1259" s="186"/>
      <c r="AF1259" s="150"/>
      <c r="AG1259" s="150"/>
      <c r="AH1259" s="150"/>
      <c r="AI1259" s="150"/>
      <c r="AJ1259" s="150"/>
      <c r="AK1259" s="150"/>
      <c r="AL1259" s="150"/>
      <c r="AM1259" s="150"/>
      <c r="AN1259" s="150"/>
      <c r="AO1259" s="150"/>
      <c r="AP1259" s="150"/>
      <c r="AQ1259" s="150"/>
      <c r="AT1259" s="186"/>
      <c r="AU1259" s="186"/>
      <c r="AV1259" s="186"/>
      <c r="AW1259" s="186"/>
      <c r="AX1259" s="186"/>
      <c r="AY1259" s="186"/>
      <c r="AZ1259" s="186"/>
      <c r="BA1259" s="186"/>
      <c r="BB1259" s="186"/>
      <c r="BC1259" s="186"/>
      <c r="BD1259" s="186"/>
      <c r="BE1259" s="186"/>
      <c r="BF1259" s="150"/>
      <c r="BG1259" s="150"/>
    </row>
    <row r="1260" spans="3:59" ht="14.6">
      <c r="C1260" s="289"/>
      <c r="D1260" s="150"/>
      <c r="E1260" s="150"/>
      <c r="F1260" s="150"/>
      <c r="G1260" s="150"/>
      <c r="H1260" s="150"/>
      <c r="I1260" s="150"/>
      <c r="J1260" s="150"/>
      <c r="K1260" s="150"/>
      <c r="L1260" s="150"/>
      <c r="M1260" s="150"/>
      <c r="N1260" s="150"/>
      <c r="O1260" s="150"/>
      <c r="P1260" s="150"/>
      <c r="Q1260" s="150"/>
      <c r="R1260" s="150"/>
      <c r="S1260" s="150"/>
      <c r="T1260" s="186"/>
      <c r="U1260" s="186"/>
      <c r="V1260" s="186"/>
      <c r="W1260" s="186"/>
      <c r="X1260" s="186"/>
      <c r="Y1260" s="186"/>
      <c r="Z1260" s="186"/>
      <c r="AA1260" s="186"/>
      <c r="AB1260" s="186"/>
      <c r="AC1260" s="186"/>
      <c r="AD1260" s="186"/>
      <c r="AF1260" s="150"/>
      <c r="AG1260" s="150"/>
      <c r="AH1260" s="150"/>
      <c r="AI1260" s="150"/>
      <c r="AJ1260" s="150"/>
      <c r="AK1260" s="150"/>
      <c r="AL1260" s="150"/>
      <c r="AM1260" s="150"/>
      <c r="AN1260" s="150"/>
      <c r="AO1260" s="150"/>
      <c r="AP1260" s="150"/>
      <c r="AQ1260" s="150"/>
      <c r="AT1260" s="186"/>
      <c r="AU1260" s="186"/>
      <c r="AV1260" s="186"/>
      <c r="AW1260" s="186"/>
      <c r="AX1260" s="186"/>
      <c r="AY1260" s="186"/>
      <c r="AZ1260" s="186"/>
      <c r="BA1260" s="186"/>
      <c r="BB1260" s="186"/>
      <c r="BC1260" s="186"/>
      <c r="BD1260" s="186"/>
      <c r="BE1260" s="186"/>
      <c r="BF1260" s="150"/>
      <c r="BG1260" s="150"/>
    </row>
    <row r="1261" spans="3:59" ht="14.6">
      <c r="C1261" s="289"/>
      <c r="D1261" s="150"/>
      <c r="E1261" s="150"/>
      <c r="F1261" s="150"/>
      <c r="G1261" s="150"/>
      <c r="H1261" s="150"/>
      <c r="I1261" s="150"/>
      <c r="J1261" s="150"/>
      <c r="K1261" s="150"/>
      <c r="L1261" s="150"/>
      <c r="M1261" s="150"/>
      <c r="N1261" s="150"/>
      <c r="O1261" s="150"/>
      <c r="P1261" s="150"/>
      <c r="Q1261" s="150"/>
      <c r="R1261" s="150"/>
      <c r="S1261" s="150"/>
      <c r="T1261" s="186"/>
      <c r="U1261" s="186"/>
      <c r="V1261" s="186"/>
      <c r="W1261" s="186"/>
      <c r="X1261" s="186"/>
      <c r="Y1261" s="186"/>
      <c r="Z1261" s="186"/>
      <c r="AA1261" s="186"/>
      <c r="AB1261" s="186"/>
      <c r="AC1261" s="186"/>
      <c r="AD1261" s="186"/>
      <c r="AF1261" s="150"/>
      <c r="AG1261" s="150"/>
      <c r="AH1261" s="150"/>
      <c r="AI1261" s="150"/>
      <c r="AJ1261" s="150"/>
      <c r="AK1261" s="150"/>
      <c r="AL1261" s="150"/>
      <c r="AM1261" s="150"/>
      <c r="AN1261" s="150"/>
      <c r="AO1261" s="150"/>
      <c r="AP1261" s="150"/>
      <c r="AQ1261" s="150"/>
      <c r="AT1261" s="186"/>
      <c r="AU1261" s="186"/>
      <c r="AV1261" s="186"/>
      <c r="AW1261" s="186"/>
      <c r="AX1261" s="186"/>
      <c r="AY1261" s="186"/>
      <c r="AZ1261" s="186"/>
      <c r="BA1261" s="186"/>
      <c r="BB1261" s="186"/>
      <c r="BC1261" s="186"/>
      <c r="BD1261" s="186"/>
      <c r="BE1261" s="186"/>
      <c r="BF1261" s="150"/>
      <c r="BG1261" s="150"/>
    </row>
    <row r="1262" spans="3:59" ht="14.6">
      <c r="C1262" s="289"/>
      <c r="D1262" s="150"/>
      <c r="E1262" s="150"/>
      <c r="F1262" s="150"/>
      <c r="G1262" s="150"/>
      <c r="H1262" s="150"/>
      <c r="I1262" s="150"/>
      <c r="J1262" s="150"/>
      <c r="K1262" s="150"/>
      <c r="L1262" s="150"/>
      <c r="M1262" s="150"/>
      <c r="N1262" s="150"/>
      <c r="O1262" s="150"/>
      <c r="P1262" s="150"/>
      <c r="Q1262" s="150"/>
      <c r="R1262" s="150"/>
      <c r="S1262" s="150"/>
      <c r="T1262" s="186"/>
      <c r="U1262" s="186"/>
      <c r="V1262" s="186"/>
      <c r="W1262" s="186"/>
      <c r="X1262" s="186"/>
      <c r="Y1262" s="186"/>
      <c r="Z1262" s="186"/>
      <c r="AA1262" s="186"/>
      <c r="AB1262" s="186"/>
      <c r="AC1262" s="186"/>
      <c r="AD1262" s="186"/>
      <c r="AF1262" s="150"/>
      <c r="AG1262" s="150"/>
      <c r="AH1262" s="150"/>
      <c r="AI1262" s="150"/>
      <c r="AJ1262" s="150"/>
      <c r="AK1262" s="150"/>
      <c r="AL1262" s="150"/>
      <c r="AM1262" s="150"/>
      <c r="AN1262" s="150"/>
      <c r="AO1262" s="150"/>
      <c r="AP1262" s="150"/>
      <c r="AQ1262" s="150"/>
      <c r="AT1262" s="186"/>
      <c r="AU1262" s="186"/>
      <c r="AV1262" s="186"/>
      <c r="AW1262" s="186"/>
      <c r="AX1262" s="186"/>
      <c r="AY1262" s="186"/>
      <c r="AZ1262" s="186"/>
      <c r="BA1262" s="186"/>
      <c r="BB1262" s="186"/>
      <c r="BC1262" s="186"/>
      <c r="BD1262" s="186"/>
      <c r="BE1262" s="186"/>
      <c r="BF1262" s="150"/>
      <c r="BG1262" s="150"/>
    </row>
    <row r="1263" spans="3:59" ht="14.6">
      <c r="C1263" s="289"/>
      <c r="D1263" s="150"/>
      <c r="E1263" s="150"/>
      <c r="F1263" s="150"/>
      <c r="G1263" s="150"/>
      <c r="H1263" s="150"/>
      <c r="I1263" s="150"/>
      <c r="J1263" s="150"/>
      <c r="K1263" s="150"/>
      <c r="L1263" s="150"/>
      <c r="M1263" s="150"/>
      <c r="N1263" s="150"/>
      <c r="O1263" s="150"/>
      <c r="P1263" s="150"/>
      <c r="Q1263" s="150"/>
      <c r="R1263" s="150"/>
      <c r="S1263" s="150"/>
      <c r="T1263" s="186"/>
      <c r="U1263" s="186"/>
      <c r="V1263" s="186"/>
      <c r="W1263" s="186"/>
      <c r="X1263" s="186"/>
      <c r="Y1263" s="186"/>
      <c r="Z1263" s="186"/>
      <c r="AA1263" s="186"/>
      <c r="AB1263" s="186"/>
      <c r="AC1263" s="186"/>
      <c r="AD1263" s="186"/>
      <c r="AF1263" s="150"/>
      <c r="AG1263" s="150"/>
      <c r="AH1263" s="150"/>
      <c r="AI1263" s="150"/>
      <c r="AJ1263" s="150"/>
      <c r="AK1263" s="150"/>
      <c r="AL1263" s="150"/>
      <c r="AM1263" s="150"/>
      <c r="AN1263" s="150"/>
      <c r="AO1263" s="150"/>
      <c r="AP1263" s="150"/>
      <c r="AQ1263" s="150"/>
      <c r="AT1263" s="186"/>
      <c r="AU1263" s="186"/>
      <c r="AV1263" s="186"/>
      <c r="AW1263" s="186"/>
      <c r="AX1263" s="186"/>
      <c r="AY1263" s="186"/>
      <c r="AZ1263" s="186"/>
      <c r="BA1263" s="186"/>
      <c r="BB1263" s="186"/>
      <c r="BC1263" s="186"/>
      <c r="BD1263" s="186"/>
      <c r="BE1263" s="186"/>
      <c r="BF1263" s="150"/>
      <c r="BG1263" s="150"/>
    </row>
    <row r="1264" spans="3:59" ht="14.6">
      <c r="C1264" s="289"/>
      <c r="D1264" s="150"/>
      <c r="E1264" s="150"/>
      <c r="F1264" s="150"/>
      <c r="G1264" s="150"/>
      <c r="H1264" s="150"/>
      <c r="I1264" s="150"/>
      <c r="J1264" s="150"/>
      <c r="K1264" s="150"/>
      <c r="L1264" s="150"/>
      <c r="M1264" s="150"/>
      <c r="N1264" s="150"/>
      <c r="O1264" s="150"/>
      <c r="P1264" s="150"/>
      <c r="Q1264" s="150"/>
      <c r="R1264" s="150"/>
      <c r="S1264" s="150"/>
      <c r="T1264" s="186"/>
      <c r="U1264" s="186"/>
      <c r="V1264" s="186"/>
      <c r="W1264" s="186"/>
      <c r="X1264" s="186"/>
      <c r="Y1264" s="186"/>
      <c r="Z1264" s="186"/>
      <c r="AA1264" s="186"/>
      <c r="AB1264" s="186"/>
      <c r="AC1264" s="186"/>
      <c r="AD1264" s="186"/>
      <c r="AF1264" s="150"/>
      <c r="AG1264" s="150"/>
      <c r="AH1264" s="150"/>
      <c r="AI1264" s="150"/>
      <c r="AJ1264" s="150"/>
      <c r="AK1264" s="150"/>
      <c r="AL1264" s="150"/>
      <c r="AM1264" s="150"/>
      <c r="AN1264" s="150"/>
      <c r="AO1264" s="150"/>
      <c r="AP1264" s="150"/>
      <c r="AQ1264" s="150"/>
      <c r="AT1264" s="186"/>
      <c r="AU1264" s="186"/>
      <c r="AV1264" s="186"/>
      <c r="AW1264" s="186"/>
      <c r="AX1264" s="186"/>
      <c r="AY1264" s="186"/>
      <c r="AZ1264" s="186"/>
      <c r="BA1264" s="186"/>
      <c r="BB1264" s="186"/>
      <c r="BC1264" s="186"/>
      <c r="BD1264" s="186"/>
      <c r="BE1264" s="186"/>
      <c r="BF1264" s="150"/>
      <c r="BG1264" s="150"/>
    </row>
    <row r="1265" spans="3:59" ht="14.6">
      <c r="C1265" s="289"/>
      <c r="D1265" s="150"/>
      <c r="E1265" s="150"/>
      <c r="F1265" s="150"/>
      <c r="G1265" s="150"/>
      <c r="H1265" s="150"/>
      <c r="I1265" s="150"/>
      <c r="J1265" s="150"/>
      <c r="K1265" s="150"/>
      <c r="L1265" s="150"/>
      <c r="M1265" s="150"/>
      <c r="N1265" s="150"/>
      <c r="O1265" s="150"/>
      <c r="P1265" s="150"/>
      <c r="Q1265" s="150"/>
      <c r="R1265" s="150"/>
      <c r="S1265" s="150"/>
      <c r="T1265" s="186"/>
      <c r="U1265" s="186"/>
      <c r="V1265" s="186"/>
      <c r="W1265" s="186"/>
      <c r="X1265" s="186"/>
      <c r="Y1265" s="186"/>
      <c r="Z1265" s="186"/>
      <c r="AA1265" s="186"/>
      <c r="AB1265" s="186"/>
      <c r="AC1265" s="186"/>
      <c r="AD1265" s="186"/>
      <c r="AF1265" s="150"/>
      <c r="AG1265" s="150"/>
      <c r="AH1265" s="150"/>
      <c r="AI1265" s="150"/>
      <c r="AJ1265" s="150"/>
      <c r="AK1265" s="150"/>
      <c r="AL1265" s="150"/>
      <c r="AM1265" s="150"/>
      <c r="AN1265" s="150"/>
      <c r="AO1265" s="150"/>
      <c r="AP1265" s="150"/>
      <c r="AQ1265" s="150"/>
      <c r="AT1265" s="186"/>
      <c r="AU1265" s="186"/>
      <c r="AV1265" s="186"/>
      <c r="AW1265" s="186"/>
      <c r="AX1265" s="186"/>
      <c r="AY1265" s="186"/>
      <c r="AZ1265" s="186"/>
      <c r="BA1265" s="186"/>
      <c r="BB1265" s="186"/>
      <c r="BC1265" s="186"/>
      <c r="BD1265" s="186"/>
      <c r="BE1265" s="186"/>
      <c r="BF1265" s="150"/>
      <c r="BG1265" s="150"/>
    </row>
    <row r="1266" spans="3:59" ht="14.6">
      <c r="C1266" s="289"/>
      <c r="D1266" s="150"/>
      <c r="E1266" s="150"/>
      <c r="F1266" s="150"/>
      <c r="G1266" s="150"/>
      <c r="H1266" s="150"/>
      <c r="I1266" s="150"/>
      <c r="J1266" s="150"/>
      <c r="K1266" s="150"/>
      <c r="L1266" s="150"/>
      <c r="M1266" s="150"/>
      <c r="N1266" s="150"/>
      <c r="O1266" s="150"/>
      <c r="P1266" s="150"/>
      <c r="Q1266" s="150"/>
      <c r="R1266" s="150"/>
      <c r="S1266" s="150"/>
      <c r="T1266" s="186"/>
      <c r="U1266" s="186"/>
      <c r="V1266" s="186"/>
      <c r="W1266" s="186"/>
      <c r="X1266" s="186"/>
      <c r="Y1266" s="186"/>
      <c r="Z1266" s="186"/>
      <c r="AA1266" s="186"/>
      <c r="AB1266" s="186"/>
      <c r="AC1266" s="186"/>
      <c r="AD1266" s="186"/>
      <c r="AF1266" s="150"/>
      <c r="AG1266" s="150"/>
      <c r="AH1266" s="150"/>
      <c r="AI1266" s="150"/>
      <c r="AJ1266" s="150"/>
      <c r="AK1266" s="150"/>
      <c r="AL1266" s="150"/>
      <c r="AM1266" s="150"/>
      <c r="AN1266" s="150"/>
      <c r="AO1266" s="150"/>
      <c r="AP1266" s="150"/>
      <c r="AQ1266" s="150"/>
      <c r="AT1266" s="186"/>
      <c r="AU1266" s="186"/>
      <c r="AV1266" s="186"/>
      <c r="AW1266" s="186"/>
      <c r="AX1266" s="186"/>
      <c r="AY1266" s="186"/>
      <c r="AZ1266" s="186"/>
      <c r="BA1266" s="186"/>
      <c r="BB1266" s="186"/>
      <c r="BC1266" s="186"/>
      <c r="BD1266" s="186"/>
      <c r="BE1266" s="186"/>
      <c r="BF1266" s="150"/>
      <c r="BG1266" s="150"/>
    </row>
    <row r="1267" spans="3:59" ht="14.6">
      <c r="C1267" s="289"/>
      <c r="D1267" s="150"/>
      <c r="E1267" s="150"/>
      <c r="F1267" s="150"/>
      <c r="G1267" s="150"/>
      <c r="H1267" s="150"/>
      <c r="I1267" s="150"/>
      <c r="J1267" s="150"/>
      <c r="K1267" s="150"/>
      <c r="L1267" s="150"/>
      <c r="M1267" s="150"/>
      <c r="N1267" s="150"/>
      <c r="O1267" s="150"/>
      <c r="P1267" s="150"/>
      <c r="Q1267" s="150"/>
      <c r="R1267" s="150"/>
      <c r="S1267" s="150"/>
      <c r="T1267" s="186"/>
      <c r="U1267" s="186"/>
      <c r="V1267" s="186"/>
      <c r="W1267" s="186"/>
      <c r="X1267" s="186"/>
      <c r="Y1267" s="186"/>
      <c r="Z1267" s="186"/>
      <c r="AA1267" s="186"/>
      <c r="AB1267" s="186"/>
      <c r="AC1267" s="186"/>
      <c r="AD1267" s="186"/>
      <c r="AF1267" s="150"/>
      <c r="AG1267" s="150"/>
      <c r="AH1267" s="150"/>
      <c r="AI1267" s="150"/>
      <c r="AJ1267" s="150"/>
      <c r="AK1267" s="150"/>
      <c r="AL1267" s="150"/>
      <c r="AM1267" s="150"/>
      <c r="AN1267" s="150"/>
      <c r="AO1267" s="150"/>
      <c r="AP1267" s="150"/>
      <c r="AQ1267" s="150"/>
      <c r="AT1267" s="186"/>
      <c r="AU1267" s="186"/>
      <c r="AV1267" s="186"/>
      <c r="AW1267" s="186"/>
      <c r="AX1267" s="186"/>
      <c r="AY1267" s="186"/>
      <c r="AZ1267" s="186"/>
      <c r="BA1267" s="186"/>
      <c r="BB1267" s="186"/>
      <c r="BC1267" s="186"/>
      <c r="BD1267" s="186"/>
      <c r="BE1267" s="186"/>
      <c r="BF1267" s="150"/>
      <c r="BG1267" s="150"/>
    </row>
    <row r="1268" spans="3:59" ht="14.6">
      <c r="C1268" s="289"/>
      <c r="D1268" s="150"/>
      <c r="E1268" s="150"/>
      <c r="F1268" s="150"/>
      <c r="G1268" s="150"/>
      <c r="H1268" s="150"/>
      <c r="I1268" s="150"/>
      <c r="J1268" s="150"/>
      <c r="K1268" s="150"/>
      <c r="L1268" s="150"/>
      <c r="M1268" s="150"/>
      <c r="N1268" s="150"/>
      <c r="O1268" s="150"/>
      <c r="P1268" s="150"/>
      <c r="Q1268" s="150"/>
      <c r="R1268" s="150"/>
      <c r="S1268" s="150"/>
      <c r="T1268" s="186"/>
      <c r="U1268" s="186"/>
      <c r="V1268" s="186"/>
      <c r="W1268" s="186"/>
      <c r="X1268" s="186"/>
      <c r="Y1268" s="186"/>
      <c r="Z1268" s="186"/>
      <c r="AA1268" s="186"/>
      <c r="AB1268" s="186"/>
      <c r="AC1268" s="186"/>
      <c r="AD1268" s="186"/>
      <c r="AF1268" s="150"/>
      <c r="AG1268" s="150"/>
      <c r="AH1268" s="150"/>
      <c r="AI1268" s="150"/>
      <c r="AJ1268" s="150"/>
      <c r="AK1268" s="150"/>
      <c r="AL1268" s="150"/>
      <c r="AM1268" s="150"/>
      <c r="AN1268" s="150"/>
      <c r="AO1268" s="150"/>
      <c r="AP1268" s="150"/>
      <c r="AQ1268" s="150"/>
      <c r="AT1268" s="186"/>
      <c r="AU1268" s="186"/>
      <c r="AV1268" s="186"/>
      <c r="AW1268" s="186"/>
      <c r="AX1268" s="186"/>
      <c r="AY1268" s="186"/>
      <c r="AZ1268" s="186"/>
      <c r="BA1268" s="186"/>
      <c r="BB1268" s="186"/>
      <c r="BC1268" s="186"/>
      <c r="BD1268" s="186"/>
      <c r="BE1268" s="186"/>
      <c r="BF1268" s="150"/>
      <c r="BG1268" s="150"/>
    </row>
    <row r="1269" spans="3:59" ht="14.6">
      <c r="C1269" s="289"/>
      <c r="D1269" s="150"/>
      <c r="E1269" s="150"/>
      <c r="F1269" s="150"/>
      <c r="G1269" s="150"/>
      <c r="H1269" s="150"/>
      <c r="I1269" s="150"/>
      <c r="J1269" s="150"/>
      <c r="K1269" s="150"/>
      <c r="L1269" s="150"/>
      <c r="M1269" s="150"/>
      <c r="N1269" s="150"/>
      <c r="O1269" s="150"/>
      <c r="P1269" s="150"/>
      <c r="Q1269" s="150"/>
      <c r="R1269" s="150"/>
      <c r="S1269" s="150"/>
      <c r="T1269" s="186"/>
      <c r="U1269" s="186"/>
      <c r="V1269" s="186"/>
      <c r="W1269" s="186"/>
      <c r="X1269" s="186"/>
      <c r="Y1269" s="186"/>
      <c r="Z1269" s="186"/>
      <c r="AA1269" s="186"/>
      <c r="AB1269" s="186"/>
      <c r="AC1269" s="186"/>
      <c r="AD1269" s="186"/>
      <c r="AF1269" s="150"/>
      <c r="AG1269" s="150"/>
      <c r="AH1269" s="150"/>
      <c r="AI1269" s="150"/>
      <c r="AJ1269" s="150"/>
      <c r="AK1269" s="150"/>
      <c r="AL1269" s="150"/>
      <c r="AM1269" s="150"/>
      <c r="AN1269" s="150"/>
      <c r="AO1269" s="150"/>
      <c r="AP1269" s="150"/>
      <c r="AQ1269" s="150"/>
      <c r="AT1269" s="186"/>
      <c r="AU1269" s="186"/>
      <c r="AV1269" s="186"/>
      <c r="AW1269" s="186"/>
      <c r="AX1269" s="186"/>
      <c r="AY1269" s="186"/>
      <c r="AZ1269" s="186"/>
      <c r="BA1269" s="186"/>
      <c r="BB1269" s="186"/>
      <c r="BC1269" s="186"/>
      <c r="BD1269" s="186"/>
      <c r="BE1269" s="186"/>
      <c r="BF1269" s="150"/>
      <c r="BG1269" s="150"/>
    </row>
    <row r="1270" spans="3:59" ht="14.6">
      <c r="C1270" s="289"/>
      <c r="D1270" s="150"/>
      <c r="E1270" s="150"/>
      <c r="F1270" s="150"/>
      <c r="G1270" s="150"/>
      <c r="H1270" s="150"/>
      <c r="I1270" s="150"/>
      <c r="J1270" s="150"/>
      <c r="K1270" s="150"/>
      <c r="L1270" s="150"/>
      <c r="M1270" s="150"/>
      <c r="N1270" s="150"/>
      <c r="O1270" s="150"/>
      <c r="P1270" s="150"/>
      <c r="Q1270" s="150"/>
      <c r="R1270" s="150"/>
      <c r="S1270" s="150"/>
      <c r="T1270" s="186"/>
      <c r="U1270" s="186"/>
      <c r="V1270" s="186"/>
      <c r="W1270" s="186"/>
      <c r="X1270" s="186"/>
      <c r="Y1270" s="186"/>
      <c r="Z1270" s="186"/>
      <c r="AA1270" s="186"/>
      <c r="AB1270" s="186"/>
      <c r="AC1270" s="186"/>
      <c r="AD1270" s="186"/>
      <c r="AF1270" s="150"/>
      <c r="AG1270" s="150"/>
      <c r="AH1270" s="150"/>
      <c r="AI1270" s="150"/>
      <c r="AJ1270" s="150"/>
      <c r="AK1270" s="150"/>
      <c r="AL1270" s="150"/>
      <c r="AM1270" s="150"/>
      <c r="AN1270" s="150"/>
      <c r="AO1270" s="150"/>
      <c r="AP1270" s="150"/>
      <c r="AQ1270" s="150"/>
      <c r="AT1270" s="186"/>
      <c r="AU1270" s="186"/>
      <c r="AV1270" s="186"/>
      <c r="AW1270" s="186"/>
      <c r="AX1270" s="186"/>
      <c r="AY1270" s="186"/>
      <c r="AZ1270" s="186"/>
      <c r="BA1270" s="186"/>
      <c r="BB1270" s="186"/>
      <c r="BC1270" s="186"/>
      <c r="BD1270" s="186"/>
      <c r="BE1270" s="186"/>
      <c r="BF1270" s="150"/>
      <c r="BG1270" s="150"/>
    </row>
    <row r="1271" spans="3:59" ht="14.6">
      <c r="C1271" s="289"/>
      <c r="D1271" s="150"/>
      <c r="E1271" s="150"/>
      <c r="F1271" s="150"/>
      <c r="G1271" s="150"/>
      <c r="H1271" s="150"/>
      <c r="I1271" s="150"/>
      <c r="J1271" s="150"/>
      <c r="K1271" s="150"/>
      <c r="L1271" s="150"/>
      <c r="M1271" s="150"/>
      <c r="N1271" s="150"/>
      <c r="O1271" s="150"/>
      <c r="P1271" s="150"/>
      <c r="Q1271" s="150"/>
      <c r="R1271" s="150"/>
      <c r="S1271" s="150"/>
      <c r="T1271" s="186"/>
      <c r="U1271" s="186"/>
      <c r="V1271" s="186"/>
      <c r="W1271" s="186"/>
      <c r="X1271" s="186"/>
      <c r="Y1271" s="186"/>
      <c r="Z1271" s="186"/>
      <c r="AA1271" s="186"/>
      <c r="AB1271" s="186"/>
      <c r="AC1271" s="186"/>
      <c r="AD1271" s="186"/>
      <c r="AF1271" s="150"/>
      <c r="AG1271" s="150"/>
      <c r="AH1271" s="150"/>
      <c r="AI1271" s="150"/>
      <c r="AJ1271" s="150"/>
      <c r="AK1271" s="150"/>
      <c r="AL1271" s="150"/>
      <c r="AM1271" s="150"/>
      <c r="AN1271" s="150"/>
      <c r="AO1271" s="150"/>
      <c r="AP1271" s="150"/>
      <c r="AQ1271" s="150"/>
      <c r="AT1271" s="186"/>
      <c r="AU1271" s="186"/>
      <c r="AV1271" s="186"/>
      <c r="AW1271" s="186"/>
      <c r="AX1271" s="186"/>
      <c r="AY1271" s="186"/>
      <c r="AZ1271" s="186"/>
      <c r="BA1271" s="186"/>
      <c r="BB1271" s="186"/>
      <c r="BC1271" s="186"/>
      <c r="BD1271" s="186"/>
      <c r="BE1271" s="186"/>
      <c r="BF1271" s="150"/>
      <c r="BG1271" s="150"/>
    </row>
    <row r="1272" spans="3:59" ht="14.6">
      <c r="C1272" s="289"/>
      <c r="D1272" s="150"/>
      <c r="E1272" s="150"/>
      <c r="F1272" s="150"/>
      <c r="G1272" s="150"/>
      <c r="H1272" s="150"/>
      <c r="I1272" s="150"/>
      <c r="J1272" s="150"/>
      <c r="K1272" s="150"/>
      <c r="L1272" s="150"/>
      <c r="M1272" s="150"/>
      <c r="N1272" s="150"/>
      <c r="O1272" s="150"/>
      <c r="P1272" s="150"/>
      <c r="Q1272" s="150"/>
      <c r="R1272" s="150"/>
      <c r="S1272" s="150"/>
      <c r="T1272" s="186"/>
      <c r="U1272" s="186"/>
      <c r="V1272" s="186"/>
      <c r="W1272" s="186"/>
      <c r="X1272" s="186"/>
      <c r="Y1272" s="186"/>
      <c r="Z1272" s="186"/>
      <c r="AA1272" s="186"/>
      <c r="AB1272" s="186"/>
      <c r="AC1272" s="186"/>
      <c r="AD1272" s="186"/>
      <c r="AF1272" s="150"/>
      <c r="AG1272" s="150"/>
      <c r="AH1272" s="150"/>
      <c r="AI1272" s="150"/>
      <c r="AJ1272" s="150"/>
      <c r="AK1272" s="150"/>
      <c r="AL1272" s="150"/>
      <c r="AM1272" s="150"/>
      <c r="AN1272" s="150"/>
      <c r="AO1272" s="150"/>
      <c r="AP1272" s="150"/>
      <c r="AQ1272" s="150"/>
      <c r="AT1272" s="186"/>
      <c r="AU1272" s="186"/>
      <c r="AV1272" s="186"/>
      <c r="AW1272" s="186"/>
      <c r="AX1272" s="186"/>
      <c r="AY1272" s="186"/>
      <c r="AZ1272" s="186"/>
      <c r="BA1272" s="186"/>
      <c r="BB1272" s="186"/>
      <c r="BC1272" s="186"/>
      <c r="BD1272" s="186"/>
      <c r="BE1272" s="186"/>
      <c r="BF1272" s="150"/>
      <c r="BG1272" s="150"/>
    </row>
    <row r="1273" spans="3:59" ht="14.6">
      <c r="C1273" s="289"/>
      <c r="D1273" s="150"/>
      <c r="E1273" s="150"/>
      <c r="F1273" s="150"/>
      <c r="G1273" s="150"/>
      <c r="H1273" s="150"/>
      <c r="I1273" s="150"/>
      <c r="J1273" s="150"/>
      <c r="K1273" s="150"/>
      <c r="L1273" s="150"/>
      <c r="M1273" s="150"/>
      <c r="N1273" s="150"/>
      <c r="O1273" s="150"/>
      <c r="P1273" s="150"/>
      <c r="Q1273" s="150"/>
      <c r="R1273" s="150"/>
      <c r="S1273" s="150"/>
      <c r="T1273" s="186"/>
      <c r="U1273" s="186"/>
      <c r="V1273" s="186"/>
      <c r="W1273" s="186"/>
      <c r="X1273" s="186"/>
      <c r="Y1273" s="186"/>
      <c r="Z1273" s="186"/>
      <c r="AA1273" s="186"/>
      <c r="AB1273" s="186"/>
      <c r="AC1273" s="186"/>
      <c r="AD1273" s="186"/>
      <c r="AF1273" s="150"/>
      <c r="AG1273" s="150"/>
      <c r="AH1273" s="150"/>
      <c r="AI1273" s="150"/>
      <c r="AJ1273" s="150"/>
      <c r="AK1273" s="150"/>
      <c r="AL1273" s="150"/>
      <c r="AM1273" s="150"/>
      <c r="AN1273" s="150"/>
      <c r="AO1273" s="150"/>
      <c r="AP1273" s="150"/>
      <c r="AQ1273" s="150"/>
      <c r="AT1273" s="186"/>
      <c r="AU1273" s="186"/>
      <c r="AV1273" s="186"/>
      <c r="AW1273" s="186"/>
      <c r="AX1273" s="186"/>
      <c r="AY1273" s="186"/>
      <c r="AZ1273" s="186"/>
      <c r="BA1273" s="186"/>
      <c r="BB1273" s="186"/>
      <c r="BC1273" s="186"/>
      <c r="BD1273" s="186"/>
      <c r="BE1273" s="186"/>
      <c r="BF1273" s="150"/>
      <c r="BG1273" s="150"/>
    </row>
    <row r="1274" spans="3:59" ht="14.6">
      <c r="C1274" s="289"/>
      <c r="D1274" s="150"/>
      <c r="E1274" s="150"/>
      <c r="F1274" s="150"/>
      <c r="G1274" s="150"/>
      <c r="H1274" s="150"/>
      <c r="I1274" s="150"/>
      <c r="J1274" s="150"/>
      <c r="K1274" s="150"/>
      <c r="L1274" s="150"/>
      <c r="M1274" s="150"/>
      <c r="N1274" s="150"/>
      <c r="O1274" s="150"/>
      <c r="P1274" s="150"/>
      <c r="Q1274" s="150"/>
      <c r="R1274" s="150"/>
      <c r="S1274" s="150"/>
      <c r="T1274" s="186"/>
      <c r="U1274" s="186"/>
      <c r="V1274" s="186"/>
      <c r="W1274" s="186"/>
      <c r="X1274" s="186"/>
      <c r="Y1274" s="186"/>
      <c r="Z1274" s="186"/>
      <c r="AA1274" s="186"/>
      <c r="AB1274" s="186"/>
      <c r="AC1274" s="186"/>
      <c r="AD1274" s="186"/>
      <c r="AF1274" s="150"/>
      <c r="AG1274" s="150"/>
      <c r="AH1274" s="150"/>
      <c r="AI1274" s="150"/>
      <c r="AJ1274" s="150"/>
      <c r="AK1274" s="150"/>
      <c r="AL1274" s="150"/>
      <c r="AM1274" s="150"/>
      <c r="AN1274" s="150"/>
      <c r="AO1274" s="150"/>
      <c r="AP1274" s="150"/>
      <c r="AQ1274" s="150"/>
      <c r="AT1274" s="186"/>
      <c r="AU1274" s="186"/>
      <c r="AV1274" s="186"/>
      <c r="AW1274" s="186"/>
      <c r="AX1274" s="186"/>
      <c r="AY1274" s="186"/>
      <c r="AZ1274" s="186"/>
      <c r="BA1274" s="186"/>
      <c r="BB1274" s="186"/>
      <c r="BC1274" s="186"/>
      <c r="BD1274" s="186"/>
      <c r="BE1274" s="186"/>
      <c r="BF1274" s="150"/>
      <c r="BG1274" s="150"/>
    </row>
    <row r="1275" spans="3:59" ht="14.6">
      <c r="C1275" s="289"/>
      <c r="D1275" s="150"/>
      <c r="E1275" s="150"/>
      <c r="F1275" s="150"/>
      <c r="G1275" s="150"/>
      <c r="H1275" s="150"/>
      <c r="I1275" s="150"/>
      <c r="J1275" s="150"/>
      <c r="K1275" s="150"/>
      <c r="L1275" s="150"/>
      <c r="M1275" s="150"/>
      <c r="N1275" s="150"/>
      <c r="O1275" s="150"/>
      <c r="P1275" s="150"/>
      <c r="Q1275" s="150"/>
      <c r="R1275" s="150"/>
      <c r="S1275" s="150"/>
      <c r="T1275" s="186"/>
      <c r="U1275" s="186"/>
      <c r="V1275" s="186"/>
      <c r="W1275" s="186"/>
      <c r="X1275" s="186"/>
      <c r="Y1275" s="186"/>
      <c r="Z1275" s="186"/>
      <c r="AA1275" s="186"/>
      <c r="AB1275" s="186"/>
      <c r="AC1275" s="186"/>
      <c r="AD1275" s="186"/>
      <c r="AF1275" s="150"/>
      <c r="AG1275" s="150"/>
      <c r="AH1275" s="150"/>
      <c r="AI1275" s="150"/>
      <c r="AJ1275" s="150"/>
      <c r="AK1275" s="150"/>
      <c r="AL1275" s="150"/>
      <c r="AM1275" s="150"/>
      <c r="AN1275" s="150"/>
      <c r="AO1275" s="150"/>
      <c r="AP1275" s="150"/>
      <c r="AQ1275" s="150"/>
      <c r="AT1275" s="186"/>
      <c r="AU1275" s="186"/>
      <c r="AV1275" s="186"/>
      <c r="AW1275" s="186"/>
      <c r="AX1275" s="186"/>
      <c r="AY1275" s="186"/>
      <c r="AZ1275" s="186"/>
      <c r="BA1275" s="186"/>
      <c r="BB1275" s="186"/>
      <c r="BC1275" s="186"/>
      <c r="BD1275" s="186"/>
      <c r="BE1275" s="186"/>
      <c r="BF1275" s="150"/>
      <c r="BG1275" s="150"/>
    </row>
    <row r="1276" spans="3:59" ht="14.6">
      <c r="C1276" s="289"/>
      <c r="D1276" s="150"/>
      <c r="E1276" s="150"/>
      <c r="F1276" s="150"/>
      <c r="G1276" s="150"/>
      <c r="H1276" s="150"/>
      <c r="I1276" s="150"/>
      <c r="J1276" s="150"/>
      <c r="K1276" s="150"/>
      <c r="L1276" s="150"/>
      <c r="M1276" s="150"/>
      <c r="N1276" s="150"/>
      <c r="O1276" s="150"/>
      <c r="P1276" s="150"/>
      <c r="Q1276" s="150"/>
      <c r="R1276" s="150"/>
      <c r="S1276" s="150"/>
      <c r="T1276" s="186"/>
      <c r="U1276" s="186"/>
      <c r="V1276" s="186"/>
      <c r="W1276" s="186"/>
      <c r="X1276" s="186"/>
      <c r="Y1276" s="186"/>
      <c r="Z1276" s="186"/>
      <c r="AA1276" s="186"/>
      <c r="AB1276" s="186"/>
      <c r="AC1276" s="186"/>
      <c r="AD1276" s="186"/>
      <c r="AF1276" s="150"/>
      <c r="AG1276" s="150"/>
      <c r="AH1276" s="150"/>
      <c r="AI1276" s="150"/>
      <c r="AJ1276" s="150"/>
      <c r="AK1276" s="150"/>
      <c r="AL1276" s="150"/>
      <c r="AM1276" s="150"/>
      <c r="AN1276" s="150"/>
      <c r="AO1276" s="150"/>
      <c r="AP1276" s="150"/>
      <c r="AQ1276" s="150"/>
      <c r="AT1276" s="186"/>
      <c r="AU1276" s="186"/>
      <c r="AV1276" s="186"/>
      <c r="AW1276" s="186"/>
      <c r="AX1276" s="186"/>
      <c r="AY1276" s="186"/>
      <c r="AZ1276" s="186"/>
      <c r="BA1276" s="186"/>
      <c r="BB1276" s="186"/>
      <c r="BC1276" s="186"/>
      <c r="BD1276" s="186"/>
      <c r="BE1276" s="186"/>
      <c r="BF1276" s="150"/>
      <c r="BG1276" s="150"/>
    </row>
    <row r="1277" spans="3:59" ht="14.6">
      <c r="C1277" s="289"/>
      <c r="D1277" s="150"/>
      <c r="E1277" s="150"/>
      <c r="F1277" s="150"/>
      <c r="G1277" s="150"/>
      <c r="H1277" s="150"/>
      <c r="I1277" s="150"/>
      <c r="J1277" s="150"/>
      <c r="K1277" s="150"/>
      <c r="L1277" s="150"/>
      <c r="M1277" s="150"/>
      <c r="N1277" s="150"/>
      <c r="O1277" s="150"/>
      <c r="P1277" s="150"/>
      <c r="Q1277" s="150"/>
      <c r="R1277" s="150"/>
      <c r="S1277" s="150"/>
      <c r="T1277" s="186"/>
      <c r="U1277" s="186"/>
      <c r="V1277" s="186"/>
      <c r="W1277" s="186"/>
      <c r="X1277" s="186"/>
      <c r="Y1277" s="186"/>
      <c r="Z1277" s="186"/>
      <c r="AA1277" s="186"/>
      <c r="AB1277" s="186"/>
      <c r="AC1277" s="186"/>
      <c r="AD1277" s="186"/>
      <c r="AF1277" s="150"/>
      <c r="AG1277" s="150"/>
      <c r="AH1277" s="150"/>
      <c r="AI1277" s="150"/>
      <c r="AJ1277" s="150"/>
      <c r="AK1277" s="150"/>
      <c r="AL1277" s="150"/>
      <c r="AM1277" s="150"/>
      <c r="AN1277" s="150"/>
      <c r="AO1277" s="150"/>
      <c r="AP1277" s="150"/>
      <c r="AQ1277" s="150"/>
      <c r="AT1277" s="186"/>
      <c r="AU1277" s="186"/>
      <c r="AV1277" s="186"/>
      <c r="AW1277" s="186"/>
      <c r="AX1277" s="186"/>
      <c r="AY1277" s="186"/>
      <c r="AZ1277" s="186"/>
      <c r="BA1277" s="186"/>
      <c r="BB1277" s="186"/>
      <c r="BC1277" s="186"/>
      <c r="BD1277" s="186"/>
      <c r="BE1277" s="186"/>
      <c r="BF1277" s="150"/>
      <c r="BG1277" s="150"/>
    </row>
    <row r="1278" spans="3:59" ht="14.6">
      <c r="C1278" s="289"/>
      <c r="D1278" s="150"/>
      <c r="E1278" s="150"/>
      <c r="F1278" s="150"/>
      <c r="G1278" s="150"/>
      <c r="H1278" s="150"/>
      <c r="I1278" s="150"/>
      <c r="J1278" s="150"/>
      <c r="K1278" s="150"/>
      <c r="L1278" s="150"/>
      <c r="M1278" s="150"/>
      <c r="N1278" s="150"/>
      <c r="O1278" s="150"/>
      <c r="P1278" s="150"/>
      <c r="Q1278" s="150"/>
      <c r="R1278" s="150"/>
      <c r="S1278" s="150"/>
      <c r="T1278" s="186"/>
      <c r="U1278" s="186"/>
      <c r="V1278" s="186"/>
      <c r="W1278" s="186"/>
      <c r="X1278" s="186"/>
      <c r="Y1278" s="186"/>
      <c r="Z1278" s="186"/>
      <c r="AA1278" s="186"/>
      <c r="AB1278" s="186"/>
      <c r="AC1278" s="186"/>
      <c r="AD1278" s="186"/>
      <c r="AF1278" s="150"/>
      <c r="AG1278" s="150"/>
      <c r="AH1278" s="150"/>
      <c r="AI1278" s="150"/>
      <c r="AJ1278" s="150"/>
      <c r="AK1278" s="150"/>
      <c r="AL1278" s="150"/>
      <c r="AM1278" s="150"/>
      <c r="AN1278" s="150"/>
      <c r="AO1278" s="150"/>
      <c r="AP1278" s="150"/>
      <c r="AQ1278" s="150"/>
      <c r="AT1278" s="186"/>
      <c r="AU1278" s="186"/>
      <c r="AV1278" s="186"/>
      <c r="AW1278" s="186"/>
      <c r="AX1278" s="186"/>
      <c r="AY1278" s="186"/>
      <c r="AZ1278" s="186"/>
      <c r="BA1278" s="186"/>
      <c r="BB1278" s="186"/>
      <c r="BC1278" s="186"/>
      <c r="BD1278" s="186"/>
      <c r="BE1278" s="186"/>
      <c r="BF1278" s="150"/>
      <c r="BG1278" s="150"/>
    </row>
    <row r="1279" spans="3:59" ht="14.6">
      <c r="C1279" s="289"/>
      <c r="D1279" s="150"/>
      <c r="E1279" s="150"/>
      <c r="F1279" s="150"/>
      <c r="G1279" s="150"/>
      <c r="H1279" s="150"/>
      <c r="I1279" s="150"/>
      <c r="J1279" s="150"/>
      <c r="K1279" s="150"/>
      <c r="L1279" s="150"/>
      <c r="M1279" s="150"/>
      <c r="N1279" s="150"/>
      <c r="O1279" s="150"/>
      <c r="P1279" s="150"/>
      <c r="Q1279" s="150"/>
      <c r="R1279" s="150"/>
      <c r="S1279" s="150"/>
      <c r="T1279" s="186"/>
      <c r="U1279" s="186"/>
      <c r="V1279" s="186"/>
      <c r="W1279" s="186"/>
      <c r="X1279" s="186"/>
      <c r="Y1279" s="186"/>
      <c r="Z1279" s="186"/>
      <c r="AA1279" s="186"/>
      <c r="AB1279" s="186"/>
      <c r="AC1279" s="186"/>
      <c r="AD1279" s="186"/>
      <c r="AF1279" s="150"/>
      <c r="AG1279" s="150"/>
      <c r="AH1279" s="150"/>
      <c r="AI1279" s="150"/>
      <c r="AJ1279" s="150"/>
      <c r="AK1279" s="150"/>
      <c r="AL1279" s="150"/>
      <c r="AM1279" s="150"/>
      <c r="AN1279" s="150"/>
      <c r="AO1279" s="150"/>
      <c r="AP1279" s="150"/>
      <c r="AQ1279" s="150"/>
      <c r="AT1279" s="186"/>
      <c r="AU1279" s="186"/>
      <c r="AV1279" s="186"/>
      <c r="AW1279" s="186"/>
      <c r="AX1279" s="186"/>
      <c r="AY1279" s="186"/>
      <c r="AZ1279" s="186"/>
      <c r="BA1279" s="186"/>
      <c r="BB1279" s="186"/>
      <c r="BC1279" s="186"/>
      <c r="BD1279" s="186"/>
      <c r="BE1279" s="186"/>
      <c r="BF1279" s="150"/>
      <c r="BG1279" s="150"/>
    </row>
    <row r="1280" spans="3:59" ht="14.6">
      <c r="C1280" s="289"/>
      <c r="D1280" s="150"/>
      <c r="E1280" s="150"/>
      <c r="F1280" s="150"/>
      <c r="G1280" s="150"/>
      <c r="H1280" s="150"/>
      <c r="I1280" s="150"/>
      <c r="J1280" s="150"/>
      <c r="K1280" s="150"/>
      <c r="L1280" s="150"/>
      <c r="M1280" s="150"/>
      <c r="N1280" s="150"/>
      <c r="O1280" s="150"/>
      <c r="P1280" s="150"/>
      <c r="Q1280" s="150"/>
      <c r="R1280" s="150"/>
      <c r="S1280" s="150"/>
      <c r="T1280" s="186"/>
      <c r="U1280" s="186"/>
      <c r="V1280" s="186"/>
      <c r="W1280" s="186"/>
      <c r="X1280" s="186"/>
      <c r="Y1280" s="186"/>
      <c r="Z1280" s="186"/>
      <c r="AA1280" s="186"/>
      <c r="AB1280" s="186"/>
      <c r="AC1280" s="186"/>
      <c r="AD1280" s="186"/>
      <c r="AF1280" s="150"/>
      <c r="AG1280" s="150"/>
      <c r="AH1280" s="150"/>
      <c r="AI1280" s="150"/>
      <c r="AJ1280" s="150"/>
      <c r="AK1280" s="150"/>
      <c r="AL1280" s="150"/>
      <c r="AM1280" s="150"/>
      <c r="AN1280" s="150"/>
      <c r="AO1280" s="150"/>
      <c r="AP1280" s="150"/>
      <c r="AQ1280" s="150"/>
      <c r="AT1280" s="186"/>
      <c r="AU1280" s="186"/>
      <c r="AV1280" s="186"/>
      <c r="AW1280" s="186"/>
      <c r="AX1280" s="186"/>
      <c r="AY1280" s="186"/>
      <c r="AZ1280" s="186"/>
      <c r="BA1280" s="186"/>
      <c r="BB1280" s="186"/>
      <c r="BC1280" s="186"/>
      <c r="BD1280" s="186"/>
      <c r="BE1280" s="186"/>
      <c r="BF1280" s="150"/>
      <c r="BG1280" s="150"/>
    </row>
    <row r="1281" spans="3:59" ht="14.6">
      <c r="C1281" s="289"/>
      <c r="D1281" s="150"/>
      <c r="E1281" s="150"/>
      <c r="F1281" s="150"/>
      <c r="G1281" s="150"/>
      <c r="H1281" s="150"/>
      <c r="I1281" s="150"/>
      <c r="J1281" s="150"/>
      <c r="K1281" s="150"/>
      <c r="L1281" s="150"/>
      <c r="M1281" s="150"/>
      <c r="N1281" s="150"/>
      <c r="O1281" s="150"/>
      <c r="P1281" s="150"/>
      <c r="Q1281" s="150"/>
      <c r="R1281" s="150"/>
      <c r="S1281" s="150"/>
      <c r="T1281" s="186"/>
      <c r="U1281" s="186"/>
      <c r="V1281" s="186"/>
      <c r="W1281" s="186"/>
      <c r="X1281" s="186"/>
      <c r="Y1281" s="186"/>
      <c r="Z1281" s="186"/>
      <c r="AA1281" s="186"/>
      <c r="AB1281" s="186"/>
      <c r="AC1281" s="186"/>
      <c r="AD1281" s="186"/>
      <c r="AF1281" s="150"/>
      <c r="AG1281" s="150"/>
      <c r="AH1281" s="150"/>
      <c r="AI1281" s="150"/>
      <c r="AJ1281" s="150"/>
      <c r="AK1281" s="150"/>
      <c r="AL1281" s="150"/>
      <c r="AM1281" s="150"/>
      <c r="AN1281" s="150"/>
      <c r="AO1281" s="150"/>
      <c r="AP1281" s="150"/>
      <c r="AQ1281" s="150"/>
      <c r="AT1281" s="186"/>
      <c r="AU1281" s="186"/>
      <c r="AV1281" s="186"/>
      <c r="AW1281" s="186"/>
      <c r="AX1281" s="186"/>
      <c r="AY1281" s="186"/>
      <c r="AZ1281" s="186"/>
      <c r="BA1281" s="186"/>
      <c r="BB1281" s="186"/>
      <c r="BC1281" s="186"/>
      <c r="BD1281" s="186"/>
      <c r="BE1281" s="186"/>
      <c r="BF1281" s="150"/>
      <c r="BG1281" s="150"/>
    </row>
    <row r="1282" spans="3:59" ht="14.6">
      <c r="C1282" s="289"/>
      <c r="D1282" s="150"/>
      <c r="E1282" s="150"/>
      <c r="F1282" s="150"/>
      <c r="G1282" s="150"/>
      <c r="H1282" s="150"/>
      <c r="I1282" s="150"/>
      <c r="J1282" s="150"/>
      <c r="K1282" s="150"/>
      <c r="L1282" s="150"/>
      <c r="M1282" s="150"/>
      <c r="N1282" s="150"/>
      <c r="O1282" s="150"/>
      <c r="P1282" s="150"/>
      <c r="Q1282" s="150"/>
      <c r="R1282" s="150"/>
      <c r="S1282" s="150"/>
      <c r="T1282" s="186"/>
      <c r="U1282" s="186"/>
      <c r="V1282" s="186"/>
      <c r="W1282" s="186"/>
      <c r="X1282" s="186"/>
      <c r="Y1282" s="186"/>
      <c r="Z1282" s="186"/>
      <c r="AA1282" s="186"/>
      <c r="AB1282" s="186"/>
      <c r="AC1282" s="186"/>
      <c r="AD1282" s="186"/>
      <c r="AF1282" s="150"/>
      <c r="AG1282" s="150"/>
      <c r="AH1282" s="150"/>
      <c r="AI1282" s="150"/>
      <c r="AJ1282" s="150"/>
      <c r="AK1282" s="150"/>
      <c r="AL1282" s="150"/>
      <c r="AM1282" s="150"/>
      <c r="AN1282" s="150"/>
      <c r="AO1282" s="150"/>
      <c r="AP1282" s="150"/>
      <c r="AQ1282" s="150"/>
      <c r="AT1282" s="186"/>
      <c r="AU1282" s="186"/>
      <c r="AV1282" s="186"/>
      <c r="AW1282" s="186"/>
      <c r="AX1282" s="186"/>
      <c r="AY1282" s="186"/>
      <c r="AZ1282" s="186"/>
      <c r="BA1282" s="186"/>
      <c r="BB1282" s="186"/>
      <c r="BC1282" s="186"/>
      <c r="BD1282" s="186"/>
      <c r="BE1282" s="186"/>
      <c r="BF1282" s="150"/>
      <c r="BG1282" s="150"/>
    </row>
    <row r="1283" spans="3:59" ht="14.6">
      <c r="C1283" s="289"/>
      <c r="D1283" s="150"/>
      <c r="E1283" s="150"/>
      <c r="F1283" s="150"/>
      <c r="G1283" s="150"/>
      <c r="H1283" s="150"/>
      <c r="I1283" s="150"/>
      <c r="J1283" s="150"/>
      <c r="K1283" s="150"/>
      <c r="L1283" s="150"/>
      <c r="M1283" s="150"/>
      <c r="N1283" s="150"/>
      <c r="O1283" s="150"/>
      <c r="P1283" s="150"/>
      <c r="Q1283" s="150"/>
      <c r="R1283" s="150"/>
      <c r="S1283" s="150"/>
      <c r="T1283" s="186"/>
      <c r="U1283" s="186"/>
      <c r="V1283" s="186"/>
      <c r="W1283" s="186"/>
      <c r="X1283" s="186"/>
      <c r="Y1283" s="186"/>
      <c r="Z1283" s="186"/>
      <c r="AA1283" s="186"/>
      <c r="AB1283" s="186"/>
      <c r="AC1283" s="186"/>
      <c r="AD1283" s="186"/>
      <c r="AF1283" s="150"/>
      <c r="AG1283" s="150"/>
      <c r="AH1283" s="150"/>
      <c r="AI1283" s="150"/>
      <c r="AJ1283" s="150"/>
      <c r="AK1283" s="150"/>
      <c r="AL1283" s="150"/>
      <c r="AM1283" s="150"/>
      <c r="AN1283" s="150"/>
      <c r="AO1283" s="150"/>
      <c r="AP1283" s="150"/>
      <c r="AQ1283" s="150"/>
      <c r="AT1283" s="186"/>
      <c r="AU1283" s="186"/>
      <c r="AV1283" s="186"/>
      <c r="AW1283" s="186"/>
      <c r="AX1283" s="186"/>
      <c r="AY1283" s="186"/>
      <c r="AZ1283" s="186"/>
      <c r="BA1283" s="186"/>
      <c r="BB1283" s="186"/>
      <c r="BC1283" s="186"/>
      <c r="BD1283" s="186"/>
      <c r="BE1283" s="186"/>
      <c r="BF1283" s="150"/>
      <c r="BG1283" s="150"/>
    </row>
    <row r="1284" spans="3:59" ht="14.6">
      <c r="C1284" s="289"/>
      <c r="D1284" s="150"/>
      <c r="E1284" s="150"/>
      <c r="F1284" s="150"/>
      <c r="G1284" s="150"/>
      <c r="H1284" s="150"/>
      <c r="I1284" s="150"/>
      <c r="J1284" s="150"/>
      <c r="K1284" s="150"/>
      <c r="L1284" s="150"/>
      <c r="M1284" s="150"/>
      <c r="N1284" s="150"/>
      <c r="O1284" s="150"/>
      <c r="P1284" s="150"/>
      <c r="Q1284" s="150"/>
      <c r="R1284" s="150"/>
      <c r="S1284" s="150"/>
      <c r="T1284" s="186"/>
      <c r="U1284" s="186"/>
      <c r="V1284" s="186"/>
      <c r="W1284" s="186"/>
      <c r="X1284" s="186"/>
      <c r="Y1284" s="186"/>
      <c r="Z1284" s="186"/>
      <c r="AA1284" s="186"/>
      <c r="AB1284" s="186"/>
      <c r="AC1284" s="186"/>
      <c r="AD1284" s="186"/>
      <c r="AF1284" s="150"/>
      <c r="AG1284" s="150"/>
      <c r="AH1284" s="150"/>
      <c r="AI1284" s="150"/>
      <c r="AJ1284" s="150"/>
      <c r="AK1284" s="150"/>
      <c r="AL1284" s="150"/>
      <c r="AM1284" s="150"/>
      <c r="AN1284" s="150"/>
      <c r="AO1284" s="150"/>
      <c r="AP1284" s="150"/>
      <c r="AQ1284" s="150"/>
      <c r="AT1284" s="186"/>
      <c r="AU1284" s="186"/>
      <c r="AV1284" s="186"/>
      <c r="AW1284" s="186"/>
      <c r="AX1284" s="186"/>
      <c r="AY1284" s="186"/>
      <c r="AZ1284" s="186"/>
      <c r="BA1284" s="186"/>
      <c r="BB1284" s="186"/>
      <c r="BC1284" s="186"/>
      <c r="BD1284" s="186"/>
      <c r="BE1284" s="186"/>
      <c r="BF1284" s="150"/>
      <c r="BG1284" s="150"/>
    </row>
    <row r="1285" spans="3:59" ht="14.6">
      <c r="C1285" s="289"/>
      <c r="D1285" s="150"/>
      <c r="E1285" s="150"/>
      <c r="F1285" s="150"/>
      <c r="G1285" s="150"/>
      <c r="H1285" s="150"/>
      <c r="I1285" s="150"/>
      <c r="J1285" s="150"/>
      <c r="K1285" s="150"/>
      <c r="L1285" s="150"/>
      <c r="M1285" s="150"/>
      <c r="N1285" s="150"/>
      <c r="O1285" s="150"/>
      <c r="P1285" s="150"/>
      <c r="Q1285" s="150"/>
      <c r="R1285" s="150"/>
      <c r="S1285" s="150"/>
      <c r="T1285" s="186"/>
      <c r="U1285" s="186"/>
      <c r="V1285" s="186"/>
      <c r="W1285" s="186"/>
      <c r="X1285" s="186"/>
      <c r="Y1285" s="186"/>
      <c r="Z1285" s="186"/>
      <c r="AA1285" s="186"/>
      <c r="AB1285" s="186"/>
      <c r="AC1285" s="186"/>
      <c r="AD1285" s="186"/>
      <c r="AF1285" s="150"/>
      <c r="AG1285" s="150"/>
      <c r="AH1285" s="150"/>
      <c r="AI1285" s="150"/>
      <c r="AJ1285" s="150"/>
      <c r="AK1285" s="150"/>
      <c r="AL1285" s="150"/>
      <c r="AM1285" s="150"/>
      <c r="AN1285" s="150"/>
      <c r="AO1285" s="150"/>
      <c r="AP1285" s="150"/>
      <c r="AQ1285" s="150"/>
      <c r="AT1285" s="186"/>
      <c r="AU1285" s="186"/>
      <c r="AV1285" s="186"/>
      <c r="AW1285" s="186"/>
      <c r="AX1285" s="186"/>
      <c r="AY1285" s="186"/>
      <c r="AZ1285" s="186"/>
      <c r="BA1285" s="186"/>
      <c r="BB1285" s="186"/>
      <c r="BC1285" s="186"/>
      <c r="BD1285" s="186"/>
      <c r="BE1285" s="186"/>
      <c r="BF1285" s="150"/>
      <c r="BG1285" s="150"/>
    </row>
    <row r="1286" spans="3:59" ht="14.6">
      <c r="C1286" s="289"/>
      <c r="D1286" s="150"/>
      <c r="E1286" s="150"/>
      <c r="F1286" s="150"/>
      <c r="G1286" s="150"/>
      <c r="H1286" s="150"/>
      <c r="I1286" s="150"/>
      <c r="J1286" s="150"/>
      <c r="K1286" s="150"/>
      <c r="L1286" s="150"/>
      <c r="M1286" s="150"/>
      <c r="N1286" s="150"/>
      <c r="O1286" s="150"/>
      <c r="P1286" s="150"/>
      <c r="Q1286" s="150"/>
      <c r="R1286" s="150"/>
      <c r="S1286" s="150"/>
      <c r="T1286" s="186"/>
      <c r="U1286" s="186"/>
      <c r="V1286" s="186"/>
      <c r="W1286" s="186"/>
      <c r="X1286" s="186"/>
      <c r="Y1286" s="186"/>
      <c r="Z1286" s="186"/>
      <c r="AA1286" s="186"/>
      <c r="AB1286" s="186"/>
      <c r="AC1286" s="186"/>
      <c r="AD1286" s="186"/>
      <c r="AF1286" s="150"/>
      <c r="AG1286" s="150"/>
      <c r="AH1286" s="150"/>
      <c r="AI1286" s="150"/>
      <c r="AJ1286" s="150"/>
      <c r="AK1286" s="150"/>
      <c r="AL1286" s="150"/>
      <c r="AM1286" s="150"/>
      <c r="AN1286" s="150"/>
      <c r="AO1286" s="150"/>
      <c r="AP1286" s="150"/>
      <c r="AQ1286" s="150"/>
      <c r="AT1286" s="186"/>
      <c r="AU1286" s="186"/>
      <c r="AV1286" s="186"/>
      <c r="AW1286" s="186"/>
      <c r="AX1286" s="186"/>
      <c r="AY1286" s="186"/>
      <c r="AZ1286" s="186"/>
      <c r="BA1286" s="186"/>
      <c r="BB1286" s="186"/>
      <c r="BC1286" s="186"/>
      <c r="BD1286" s="186"/>
      <c r="BE1286" s="186"/>
      <c r="BF1286" s="150"/>
      <c r="BG1286" s="150"/>
    </row>
    <row r="1287" spans="3:59" ht="14.6">
      <c r="C1287" s="289"/>
      <c r="D1287" s="150"/>
      <c r="E1287" s="150"/>
      <c r="F1287" s="150"/>
      <c r="G1287" s="150"/>
      <c r="H1287" s="150"/>
      <c r="I1287" s="150"/>
      <c r="J1287" s="150"/>
      <c r="K1287" s="150"/>
      <c r="L1287" s="150"/>
      <c r="M1287" s="150"/>
      <c r="N1287" s="150"/>
      <c r="O1287" s="150"/>
      <c r="P1287" s="150"/>
      <c r="Q1287" s="150"/>
      <c r="R1287" s="150"/>
      <c r="S1287" s="150"/>
      <c r="T1287" s="186"/>
      <c r="U1287" s="186"/>
      <c r="V1287" s="186"/>
      <c r="W1287" s="186"/>
      <c r="X1287" s="186"/>
      <c r="Y1287" s="186"/>
      <c r="Z1287" s="186"/>
      <c r="AA1287" s="186"/>
      <c r="AB1287" s="186"/>
      <c r="AC1287" s="186"/>
      <c r="AD1287" s="186"/>
      <c r="AF1287" s="150"/>
      <c r="AG1287" s="150"/>
      <c r="AH1287" s="150"/>
      <c r="AI1287" s="150"/>
      <c r="AJ1287" s="150"/>
      <c r="AK1287" s="150"/>
      <c r="AL1287" s="150"/>
      <c r="AM1287" s="150"/>
      <c r="AN1287" s="150"/>
      <c r="AO1287" s="150"/>
      <c r="AP1287" s="150"/>
      <c r="AQ1287" s="150"/>
      <c r="AT1287" s="186"/>
      <c r="AU1287" s="186"/>
      <c r="AV1287" s="186"/>
      <c r="AW1287" s="186"/>
      <c r="AX1287" s="186"/>
      <c r="AY1287" s="186"/>
      <c r="AZ1287" s="186"/>
      <c r="BA1287" s="186"/>
      <c r="BB1287" s="186"/>
      <c r="BC1287" s="186"/>
      <c r="BD1287" s="186"/>
      <c r="BE1287" s="186"/>
      <c r="BF1287" s="150"/>
      <c r="BG1287" s="150"/>
    </row>
    <row r="1288" spans="3:59" ht="14.6">
      <c r="C1288" s="289"/>
      <c r="D1288" s="150"/>
      <c r="E1288" s="150"/>
      <c r="F1288" s="150"/>
      <c r="G1288" s="150"/>
      <c r="H1288" s="150"/>
      <c r="I1288" s="150"/>
      <c r="J1288" s="150"/>
      <c r="K1288" s="150"/>
      <c r="L1288" s="150"/>
      <c r="M1288" s="150"/>
      <c r="N1288" s="150"/>
      <c r="O1288" s="150"/>
      <c r="P1288" s="150"/>
      <c r="Q1288" s="150"/>
      <c r="R1288" s="150"/>
      <c r="S1288" s="150"/>
      <c r="T1288" s="186"/>
      <c r="U1288" s="186"/>
      <c r="V1288" s="186"/>
      <c r="W1288" s="186"/>
      <c r="X1288" s="186"/>
      <c r="Y1288" s="186"/>
      <c r="Z1288" s="186"/>
      <c r="AA1288" s="186"/>
      <c r="AB1288" s="186"/>
      <c r="AC1288" s="186"/>
      <c r="AD1288" s="186"/>
      <c r="AF1288" s="150"/>
      <c r="AG1288" s="150"/>
      <c r="AH1288" s="150"/>
      <c r="AI1288" s="150"/>
      <c r="AJ1288" s="150"/>
      <c r="AK1288" s="150"/>
      <c r="AL1288" s="150"/>
      <c r="AM1288" s="150"/>
      <c r="AN1288" s="150"/>
      <c r="AO1288" s="150"/>
      <c r="AP1288" s="150"/>
      <c r="AQ1288" s="150"/>
      <c r="AT1288" s="186"/>
      <c r="AU1288" s="186"/>
      <c r="AV1288" s="186"/>
      <c r="AW1288" s="186"/>
      <c r="AX1288" s="186"/>
      <c r="AY1288" s="186"/>
      <c r="AZ1288" s="186"/>
      <c r="BA1288" s="186"/>
      <c r="BB1288" s="186"/>
      <c r="BC1288" s="186"/>
      <c r="BD1288" s="186"/>
      <c r="BE1288" s="186"/>
      <c r="BF1288" s="150"/>
      <c r="BG1288" s="150"/>
    </row>
    <row r="1289" spans="3:59" ht="14.6">
      <c r="C1289" s="289"/>
      <c r="D1289" s="150"/>
      <c r="E1289" s="150"/>
      <c r="F1289" s="150"/>
      <c r="G1289" s="150"/>
      <c r="H1289" s="150"/>
      <c r="I1289" s="150"/>
      <c r="J1289" s="150"/>
      <c r="K1289" s="150"/>
      <c r="L1289" s="150"/>
      <c r="M1289" s="150"/>
      <c r="N1289" s="150"/>
      <c r="O1289" s="150"/>
      <c r="P1289" s="150"/>
      <c r="Q1289" s="150"/>
      <c r="R1289" s="150"/>
      <c r="S1289" s="150"/>
      <c r="T1289" s="186"/>
      <c r="U1289" s="186"/>
      <c r="V1289" s="186"/>
      <c r="W1289" s="186"/>
      <c r="X1289" s="186"/>
      <c r="Y1289" s="186"/>
      <c r="Z1289" s="186"/>
      <c r="AA1289" s="186"/>
      <c r="AB1289" s="186"/>
      <c r="AC1289" s="186"/>
      <c r="AD1289" s="186"/>
      <c r="AF1289" s="150"/>
      <c r="AG1289" s="150"/>
      <c r="AH1289" s="150"/>
      <c r="AI1289" s="150"/>
      <c r="AJ1289" s="150"/>
      <c r="AK1289" s="150"/>
      <c r="AL1289" s="150"/>
      <c r="AM1289" s="150"/>
      <c r="AN1289" s="150"/>
      <c r="AO1289" s="150"/>
      <c r="AP1289" s="150"/>
      <c r="AQ1289" s="150"/>
      <c r="AT1289" s="186"/>
      <c r="AU1289" s="186"/>
      <c r="AV1289" s="186"/>
      <c r="AW1289" s="186"/>
      <c r="AX1289" s="186"/>
      <c r="AY1289" s="186"/>
      <c r="AZ1289" s="186"/>
      <c r="BA1289" s="186"/>
      <c r="BB1289" s="186"/>
      <c r="BC1289" s="186"/>
      <c r="BD1289" s="186"/>
      <c r="BE1289" s="186"/>
      <c r="BF1289" s="150"/>
      <c r="BG1289" s="150"/>
    </row>
    <row r="1290" spans="3:59" ht="14.6">
      <c r="C1290" s="289"/>
      <c r="D1290" s="150"/>
      <c r="E1290" s="150"/>
      <c r="F1290" s="150"/>
      <c r="G1290" s="150"/>
      <c r="H1290" s="150"/>
      <c r="I1290" s="150"/>
      <c r="J1290" s="150"/>
      <c r="K1290" s="150"/>
      <c r="L1290" s="150"/>
      <c r="M1290" s="150"/>
      <c r="N1290" s="150"/>
      <c r="O1290" s="150"/>
      <c r="P1290" s="150"/>
      <c r="Q1290" s="150"/>
      <c r="R1290" s="150"/>
      <c r="S1290" s="150"/>
      <c r="T1290" s="186"/>
      <c r="U1290" s="186"/>
      <c r="V1290" s="186"/>
      <c r="W1290" s="186"/>
      <c r="X1290" s="186"/>
      <c r="Y1290" s="186"/>
      <c r="Z1290" s="186"/>
      <c r="AA1290" s="186"/>
      <c r="AB1290" s="186"/>
      <c r="AC1290" s="186"/>
      <c r="AD1290" s="186"/>
      <c r="AF1290" s="150"/>
      <c r="AG1290" s="150"/>
      <c r="AH1290" s="150"/>
      <c r="AI1290" s="150"/>
      <c r="AJ1290" s="150"/>
      <c r="AK1290" s="150"/>
      <c r="AL1290" s="150"/>
      <c r="AM1290" s="150"/>
      <c r="AN1290" s="150"/>
      <c r="AO1290" s="150"/>
      <c r="AP1290" s="150"/>
      <c r="AQ1290" s="150"/>
      <c r="AT1290" s="186"/>
      <c r="AU1290" s="186"/>
      <c r="AV1290" s="186"/>
      <c r="AW1290" s="186"/>
      <c r="AX1290" s="186"/>
      <c r="AY1290" s="186"/>
      <c r="AZ1290" s="186"/>
      <c r="BA1290" s="186"/>
      <c r="BB1290" s="186"/>
      <c r="BC1290" s="186"/>
      <c r="BD1290" s="186"/>
      <c r="BE1290" s="186"/>
      <c r="BF1290" s="150"/>
      <c r="BG1290" s="150"/>
    </row>
    <row r="1291" spans="3:59" ht="14.6">
      <c r="C1291" s="289"/>
      <c r="D1291" s="150"/>
      <c r="E1291" s="150"/>
      <c r="F1291" s="150"/>
      <c r="G1291" s="150"/>
      <c r="H1291" s="150"/>
      <c r="I1291" s="150"/>
      <c r="J1291" s="150"/>
      <c r="K1291" s="150"/>
      <c r="L1291" s="150"/>
      <c r="M1291" s="150"/>
      <c r="N1291" s="150"/>
      <c r="O1291" s="150"/>
      <c r="P1291" s="150"/>
      <c r="Q1291" s="150"/>
      <c r="R1291" s="150"/>
      <c r="S1291" s="150"/>
      <c r="T1291" s="186"/>
      <c r="U1291" s="186"/>
      <c r="V1291" s="186"/>
      <c r="W1291" s="186"/>
      <c r="X1291" s="186"/>
      <c r="Y1291" s="186"/>
      <c r="Z1291" s="186"/>
      <c r="AA1291" s="186"/>
      <c r="AB1291" s="186"/>
      <c r="AC1291" s="186"/>
      <c r="AD1291" s="186"/>
      <c r="AF1291" s="150"/>
      <c r="AG1291" s="150"/>
      <c r="AH1291" s="150"/>
      <c r="AI1291" s="150"/>
      <c r="AJ1291" s="150"/>
      <c r="AK1291" s="150"/>
      <c r="AL1291" s="150"/>
      <c r="AM1291" s="150"/>
      <c r="AN1291" s="150"/>
      <c r="AO1291" s="150"/>
      <c r="AP1291" s="150"/>
      <c r="AQ1291" s="150"/>
      <c r="AT1291" s="186"/>
      <c r="AU1291" s="186"/>
      <c r="AV1291" s="186"/>
      <c r="AW1291" s="186"/>
      <c r="AX1291" s="186"/>
      <c r="AY1291" s="186"/>
      <c r="AZ1291" s="186"/>
      <c r="BA1291" s="186"/>
      <c r="BB1291" s="186"/>
      <c r="BC1291" s="186"/>
      <c r="BD1291" s="186"/>
      <c r="BE1291" s="186"/>
      <c r="BF1291" s="150"/>
      <c r="BG1291" s="150"/>
    </row>
    <row r="1292" spans="3:59" ht="14.6">
      <c r="C1292" s="289"/>
      <c r="D1292" s="150"/>
      <c r="E1292" s="150"/>
      <c r="F1292" s="150"/>
      <c r="G1292" s="150"/>
      <c r="H1292" s="150"/>
      <c r="I1292" s="150"/>
      <c r="J1292" s="150"/>
      <c r="K1292" s="150"/>
      <c r="L1292" s="150"/>
      <c r="M1292" s="150"/>
      <c r="N1292" s="150"/>
      <c r="O1292" s="150"/>
      <c r="P1292" s="150"/>
      <c r="Q1292" s="150"/>
      <c r="R1292" s="150"/>
      <c r="S1292" s="150"/>
      <c r="T1292" s="186"/>
      <c r="U1292" s="186"/>
      <c r="V1292" s="186"/>
      <c r="W1292" s="186"/>
      <c r="X1292" s="186"/>
      <c r="Y1292" s="186"/>
      <c r="Z1292" s="186"/>
      <c r="AA1292" s="186"/>
      <c r="AB1292" s="186"/>
      <c r="AC1292" s="186"/>
      <c r="AD1292" s="186"/>
      <c r="AF1292" s="150"/>
      <c r="AG1292" s="150"/>
      <c r="AH1292" s="150"/>
      <c r="AI1292" s="150"/>
      <c r="AJ1292" s="150"/>
      <c r="AK1292" s="150"/>
      <c r="AL1292" s="150"/>
      <c r="AM1292" s="150"/>
      <c r="AN1292" s="150"/>
      <c r="AO1292" s="150"/>
      <c r="AP1292" s="150"/>
      <c r="AQ1292" s="150"/>
      <c r="AT1292" s="186"/>
      <c r="AU1292" s="186"/>
      <c r="AV1292" s="186"/>
      <c r="AW1292" s="186"/>
      <c r="AX1292" s="186"/>
      <c r="AY1292" s="186"/>
      <c r="AZ1292" s="186"/>
      <c r="BA1292" s="186"/>
      <c r="BB1292" s="186"/>
      <c r="BC1292" s="186"/>
      <c r="BD1292" s="186"/>
      <c r="BE1292" s="186"/>
      <c r="BF1292" s="150"/>
      <c r="BG1292" s="150"/>
    </row>
    <row r="1293" spans="3:59" ht="14.6">
      <c r="C1293" s="289"/>
      <c r="D1293" s="150"/>
      <c r="E1293" s="150"/>
      <c r="F1293" s="150"/>
      <c r="G1293" s="150"/>
      <c r="H1293" s="150"/>
      <c r="I1293" s="150"/>
      <c r="J1293" s="150"/>
      <c r="K1293" s="150"/>
      <c r="L1293" s="150"/>
      <c r="M1293" s="150"/>
      <c r="N1293" s="150"/>
      <c r="O1293" s="150"/>
      <c r="P1293" s="150"/>
      <c r="Q1293" s="150"/>
      <c r="R1293" s="150"/>
      <c r="S1293" s="150"/>
      <c r="T1293" s="186"/>
      <c r="U1293" s="186"/>
      <c r="V1293" s="186"/>
      <c r="W1293" s="186"/>
      <c r="X1293" s="186"/>
      <c r="Y1293" s="186"/>
      <c r="Z1293" s="186"/>
      <c r="AA1293" s="186"/>
      <c r="AB1293" s="186"/>
      <c r="AC1293" s="186"/>
      <c r="AD1293" s="186"/>
      <c r="AF1293" s="150"/>
      <c r="AG1293" s="150"/>
      <c r="AH1293" s="150"/>
      <c r="AI1293" s="150"/>
      <c r="AJ1293" s="150"/>
      <c r="AK1293" s="150"/>
      <c r="AL1293" s="150"/>
      <c r="AM1293" s="150"/>
      <c r="AN1293" s="150"/>
      <c r="AO1293" s="150"/>
      <c r="AP1293" s="150"/>
      <c r="AQ1293" s="150"/>
      <c r="AT1293" s="186"/>
      <c r="AU1293" s="186"/>
      <c r="AV1293" s="186"/>
      <c r="AW1293" s="186"/>
      <c r="AX1293" s="186"/>
      <c r="AY1293" s="186"/>
      <c r="AZ1293" s="186"/>
      <c r="BA1293" s="186"/>
      <c r="BB1293" s="186"/>
      <c r="BC1293" s="186"/>
      <c r="BD1293" s="186"/>
      <c r="BE1293" s="186"/>
      <c r="BF1293" s="150"/>
      <c r="BG1293" s="150"/>
    </row>
    <row r="1294" spans="3:59" ht="14.6">
      <c r="C1294" s="289"/>
      <c r="D1294" s="150"/>
      <c r="E1294" s="150"/>
      <c r="F1294" s="150"/>
      <c r="G1294" s="150"/>
      <c r="H1294" s="150"/>
      <c r="I1294" s="150"/>
      <c r="J1294" s="150"/>
      <c r="K1294" s="150"/>
      <c r="L1294" s="150"/>
      <c r="M1294" s="150"/>
      <c r="N1294" s="150"/>
      <c r="O1294" s="150"/>
      <c r="P1294" s="150"/>
      <c r="Q1294" s="150"/>
      <c r="R1294" s="150"/>
      <c r="S1294" s="150"/>
      <c r="T1294" s="186"/>
      <c r="U1294" s="186"/>
      <c r="V1294" s="186"/>
      <c r="W1294" s="186"/>
      <c r="X1294" s="186"/>
      <c r="Y1294" s="186"/>
      <c r="Z1294" s="186"/>
      <c r="AA1294" s="186"/>
      <c r="AB1294" s="186"/>
      <c r="AC1294" s="186"/>
      <c r="AD1294" s="186"/>
      <c r="AF1294" s="150"/>
      <c r="AG1294" s="150"/>
      <c r="AH1294" s="150"/>
      <c r="AI1294" s="150"/>
      <c r="AJ1294" s="150"/>
      <c r="AK1294" s="150"/>
      <c r="AL1294" s="150"/>
      <c r="AM1294" s="150"/>
      <c r="AN1294" s="150"/>
      <c r="AO1294" s="150"/>
      <c r="AP1294" s="150"/>
      <c r="AQ1294" s="150"/>
      <c r="AT1294" s="186"/>
      <c r="AU1294" s="186"/>
      <c r="AV1294" s="186"/>
      <c r="AW1294" s="186"/>
      <c r="AX1294" s="186"/>
      <c r="AY1294" s="186"/>
      <c r="AZ1294" s="186"/>
      <c r="BA1294" s="186"/>
      <c r="BB1294" s="186"/>
      <c r="BC1294" s="186"/>
      <c r="BD1294" s="186"/>
      <c r="BE1294" s="186"/>
      <c r="BF1294" s="150"/>
      <c r="BG1294" s="150"/>
    </row>
    <row r="1295" spans="3:59" ht="14.6">
      <c r="C1295" s="289"/>
      <c r="D1295" s="150"/>
      <c r="E1295" s="150"/>
      <c r="F1295" s="150"/>
      <c r="G1295" s="150"/>
      <c r="H1295" s="150"/>
      <c r="I1295" s="150"/>
      <c r="J1295" s="150"/>
      <c r="K1295" s="150"/>
      <c r="L1295" s="150"/>
      <c r="M1295" s="150"/>
      <c r="N1295" s="150"/>
      <c r="O1295" s="150"/>
      <c r="P1295" s="150"/>
      <c r="Q1295" s="150"/>
      <c r="R1295" s="150"/>
      <c r="S1295" s="150"/>
      <c r="T1295" s="186"/>
      <c r="U1295" s="186"/>
      <c r="V1295" s="186"/>
      <c r="W1295" s="186"/>
      <c r="X1295" s="186"/>
      <c r="Y1295" s="186"/>
      <c r="Z1295" s="186"/>
      <c r="AA1295" s="186"/>
      <c r="AB1295" s="186"/>
      <c r="AC1295" s="186"/>
      <c r="AD1295" s="186"/>
      <c r="AF1295" s="150"/>
      <c r="AG1295" s="150"/>
      <c r="AH1295" s="150"/>
      <c r="AI1295" s="150"/>
      <c r="AJ1295" s="150"/>
      <c r="AK1295" s="150"/>
      <c r="AL1295" s="150"/>
      <c r="AM1295" s="150"/>
      <c r="AN1295" s="150"/>
      <c r="AO1295" s="150"/>
      <c r="AP1295" s="150"/>
      <c r="AQ1295" s="150"/>
      <c r="AT1295" s="186"/>
      <c r="AU1295" s="186"/>
      <c r="AV1295" s="186"/>
      <c r="AW1295" s="186"/>
      <c r="AX1295" s="186"/>
      <c r="AY1295" s="186"/>
      <c r="AZ1295" s="186"/>
      <c r="BA1295" s="186"/>
      <c r="BB1295" s="186"/>
      <c r="BC1295" s="186"/>
      <c r="BD1295" s="186"/>
      <c r="BE1295" s="186"/>
      <c r="BF1295" s="150"/>
      <c r="BG1295" s="150"/>
    </row>
    <row r="1296" spans="3:59" ht="14.6">
      <c r="C1296" s="289"/>
      <c r="D1296" s="150"/>
      <c r="E1296" s="150"/>
      <c r="F1296" s="150"/>
      <c r="G1296" s="150"/>
      <c r="H1296" s="150"/>
      <c r="I1296" s="150"/>
      <c r="J1296" s="150"/>
      <c r="K1296" s="150"/>
      <c r="L1296" s="150"/>
      <c r="M1296" s="150"/>
      <c r="N1296" s="150"/>
      <c r="O1296" s="150"/>
      <c r="P1296" s="150"/>
      <c r="Q1296" s="150"/>
      <c r="R1296" s="150"/>
      <c r="S1296" s="150"/>
      <c r="T1296" s="186"/>
      <c r="U1296" s="186"/>
      <c r="V1296" s="186"/>
      <c r="W1296" s="186"/>
      <c r="X1296" s="186"/>
      <c r="Y1296" s="186"/>
      <c r="Z1296" s="186"/>
      <c r="AA1296" s="186"/>
      <c r="AB1296" s="186"/>
      <c r="AC1296" s="186"/>
      <c r="AD1296" s="186"/>
      <c r="AF1296" s="150"/>
      <c r="AG1296" s="150"/>
      <c r="AH1296" s="150"/>
      <c r="AI1296" s="150"/>
      <c r="AJ1296" s="150"/>
      <c r="AK1296" s="150"/>
      <c r="AL1296" s="150"/>
      <c r="AM1296" s="150"/>
      <c r="AN1296" s="150"/>
      <c r="AO1296" s="150"/>
      <c r="AP1296" s="150"/>
      <c r="AQ1296" s="150"/>
      <c r="AT1296" s="186"/>
      <c r="AU1296" s="186"/>
      <c r="AV1296" s="186"/>
      <c r="AW1296" s="186"/>
      <c r="AX1296" s="186"/>
      <c r="AY1296" s="186"/>
      <c r="AZ1296" s="186"/>
      <c r="BA1296" s="186"/>
      <c r="BB1296" s="186"/>
      <c r="BC1296" s="186"/>
      <c r="BD1296" s="186"/>
      <c r="BE1296" s="186"/>
      <c r="BF1296" s="150"/>
      <c r="BG1296" s="150"/>
    </row>
    <row r="1297" spans="3:59" ht="14.6">
      <c r="C1297" s="289"/>
      <c r="D1297" s="150"/>
      <c r="E1297" s="150"/>
      <c r="F1297" s="150"/>
      <c r="G1297" s="150"/>
      <c r="H1297" s="150"/>
      <c r="I1297" s="150"/>
      <c r="J1297" s="150"/>
      <c r="K1297" s="150"/>
      <c r="L1297" s="150"/>
      <c r="M1297" s="150"/>
      <c r="N1297" s="150"/>
      <c r="O1297" s="150"/>
      <c r="P1297" s="150"/>
      <c r="Q1297" s="150"/>
      <c r="R1297" s="150"/>
      <c r="S1297" s="150"/>
      <c r="T1297" s="186"/>
      <c r="U1297" s="186"/>
      <c r="V1297" s="186"/>
      <c r="W1297" s="186"/>
      <c r="X1297" s="186"/>
      <c r="Y1297" s="186"/>
      <c r="Z1297" s="186"/>
      <c r="AA1297" s="186"/>
      <c r="AB1297" s="186"/>
      <c r="AC1297" s="186"/>
      <c r="AD1297" s="186"/>
      <c r="AF1297" s="150"/>
      <c r="AG1297" s="150"/>
      <c r="AH1297" s="150"/>
      <c r="AI1297" s="150"/>
      <c r="AJ1297" s="150"/>
      <c r="AK1297" s="150"/>
      <c r="AL1297" s="150"/>
      <c r="AM1297" s="150"/>
      <c r="AN1297" s="150"/>
      <c r="AO1297" s="150"/>
      <c r="AP1297" s="150"/>
      <c r="AQ1297" s="150"/>
      <c r="AT1297" s="186"/>
      <c r="AU1297" s="186"/>
      <c r="AV1297" s="186"/>
      <c r="AW1297" s="186"/>
      <c r="AX1297" s="186"/>
      <c r="AY1297" s="186"/>
      <c r="AZ1297" s="186"/>
      <c r="BA1297" s="186"/>
      <c r="BB1297" s="186"/>
      <c r="BC1297" s="186"/>
      <c r="BD1297" s="186"/>
      <c r="BE1297" s="186"/>
      <c r="BF1297" s="150"/>
      <c r="BG1297" s="150"/>
    </row>
    <row r="1298" spans="3:59" ht="14.6">
      <c r="C1298" s="289"/>
      <c r="D1298" s="150"/>
      <c r="E1298" s="150"/>
      <c r="F1298" s="150"/>
      <c r="G1298" s="150"/>
      <c r="H1298" s="150"/>
      <c r="I1298" s="150"/>
      <c r="J1298" s="150"/>
      <c r="K1298" s="150"/>
      <c r="L1298" s="150"/>
      <c r="M1298" s="150"/>
      <c r="N1298" s="150"/>
      <c r="O1298" s="150"/>
      <c r="P1298" s="150"/>
      <c r="Q1298" s="150"/>
      <c r="R1298" s="150"/>
      <c r="S1298" s="150"/>
      <c r="T1298" s="186"/>
      <c r="U1298" s="186"/>
      <c r="V1298" s="186"/>
      <c r="W1298" s="186"/>
      <c r="X1298" s="186"/>
      <c r="Y1298" s="186"/>
      <c r="Z1298" s="186"/>
      <c r="AA1298" s="186"/>
      <c r="AB1298" s="186"/>
      <c r="AC1298" s="186"/>
      <c r="AD1298" s="186"/>
      <c r="AF1298" s="150"/>
      <c r="AG1298" s="150"/>
      <c r="AH1298" s="150"/>
      <c r="AI1298" s="150"/>
      <c r="AJ1298" s="150"/>
      <c r="AK1298" s="150"/>
      <c r="AL1298" s="150"/>
      <c r="AM1298" s="150"/>
      <c r="AN1298" s="150"/>
      <c r="AO1298" s="150"/>
      <c r="AP1298" s="150"/>
      <c r="AQ1298" s="150"/>
      <c r="AT1298" s="186"/>
      <c r="AU1298" s="186"/>
      <c r="AV1298" s="186"/>
      <c r="AW1298" s="186"/>
      <c r="AX1298" s="186"/>
      <c r="AY1298" s="186"/>
      <c r="AZ1298" s="186"/>
      <c r="BA1298" s="186"/>
      <c r="BB1298" s="186"/>
      <c r="BC1298" s="186"/>
      <c r="BD1298" s="186"/>
      <c r="BE1298" s="186"/>
      <c r="BF1298" s="150"/>
      <c r="BG1298" s="150"/>
    </row>
    <row r="1299" spans="3:59" ht="14.6">
      <c r="C1299" s="289"/>
      <c r="D1299" s="150"/>
      <c r="E1299" s="150"/>
      <c r="F1299" s="150"/>
      <c r="G1299" s="150"/>
      <c r="H1299" s="150"/>
      <c r="I1299" s="150"/>
      <c r="J1299" s="150"/>
      <c r="K1299" s="150"/>
      <c r="L1299" s="150"/>
      <c r="M1299" s="150"/>
      <c r="N1299" s="150"/>
      <c r="O1299" s="150"/>
      <c r="P1299" s="150"/>
      <c r="Q1299" s="150"/>
      <c r="R1299" s="150"/>
      <c r="S1299" s="150"/>
      <c r="T1299" s="186"/>
      <c r="U1299" s="186"/>
      <c r="V1299" s="186"/>
      <c r="W1299" s="186"/>
      <c r="X1299" s="186"/>
      <c r="Y1299" s="186"/>
      <c r="Z1299" s="186"/>
      <c r="AA1299" s="186"/>
      <c r="AB1299" s="186"/>
      <c r="AC1299" s="186"/>
      <c r="AD1299" s="186"/>
      <c r="AF1299" s="150"/>
      <c r="AG1299" s="150"/>
      <c r="AH1299" s="150"/>
      <c r="AI1299" s="150"/>
      <c r="AJ1299" s="150"/>
      <c r="AK1299" s="150"/>
      <c r="AL1299" s="150"/>
      <c r="AM1299" s="150"/>
      <c r="AN1299" s="150"/>
      <c r="AO1299" s="150"/>
      <c r="AP1299" s="150"/>
      <c r="AQ1299" s="150"/>
      <c r="AT1299" s="186"/>
      <c r="AU1299" s="186"/>
      <c r="AV1299" s="186"/>
      <c r="AW1299" s="186"/>
      <c r="AX1299" s="186"/>
      <c r="AY1299" s="186"/>
      <c r="AZ1299" s="186"/>
      <c r="BA1299" s="186"/>
      <c r="BB1299" s="186"/>
      <c r="BC1299" s="186"/>
      <c r="BD1299" s="186"/>
      <c r="BE1299" s="186"/>
      <c r="BF1299" s="150"/>
      <c r="BG1299" s="150"/>
    </row>
    <row r="1300" spans="3:59" ht="14.6">
      <c r="C1300" s="289"/>
      <c r="D1300" s="150"/>
      <c r="E1300" s="150"/>
      <c r="F1300" s="150"/>
      <c r="G1300" s="150"/>
      <c r="H1300" s="150"/>
      <c r="I1300" s="150"/>
      <c r="J1300" s="150"/>
      <c r="K1300" s="150"/>
      <c r="L1300" s="150"/>
      <c r="M1300" s="150"/>
      <c r="N1300" s="150"/>
      <c r="O1300" s="150"/>
      <c r="P1300" s="150"/>
      <c r="Q1300" s="150"/>
      <c r="R1300" s="150"/>
      <c r="S1300" s="150"/>
      <c r="T1300" s="186"/>
      <c r="U1300" s="186"/>
      <c r="V1300" s="186"/>
      <c r="W1300" s="186"/>
      <c r="X1300" s="186"/>
      <c r="Y1300" s="186"/>
      <c r="Z1300" s="186"/>
      <c r="AA1300" s="186"/>
      <c r="AB1300" s="186"/>
      <c r="AC1300" s="186"/>
      <c r="AD1300" s="186"/>
      <c r="AF1300" s="150"/>
      <c r="AG1300" s="150"/>
      <c r="AH1300" s="150"/>
      <c r="AI1300" s="150"/>
      <c r="AJ1300" s="150"/>
      <c r="AK1300" s="150"/>
      <c r="AL1300" s="150"/>
      <c r="AM1300" s="150"/>
      <c r="AN1300" s="150"/>
      <c r="AO1300" s="150"/>
      <c r="AP1300" s="150"/>
      <c r="AQ1300" s="150"/>
      <c r="AT1300" s="186"/>
      <c r="AU1300" s="186"/>
      <c r="AV1300" s="186"/>
      <c r="AW1300" s="186"/>
      <c r="AX1300" s="186"/>
      <c r="AY1300" s="186"/>
      <c r="AZ1300" s="186"/>
      <c r="BA1300" s="186"/>
      <c r="BB1300" s="186"/>
      <c r="BC1300" s="186"/>
      <c r="BD1300" s="186"/>
      <c r="BE1300" s="186"/>
      <c r="BF1300" s="150"/>
      <c r="BG1300" s="150"/>
    </row>
    <row r="1301" spans="3:59" ht="14.6">
      <c r="C1301" s="289"/>
      <c r="D1301" s="150"/>
      <c r="E1301" s="150"/>
      <c r="F1301" s="150"/>
      <c r="G1301" s="150"/>
      <c r="H1301" s="150"/>
      <c r="I1301" s="150"/>
      <c r="J1301" s="150"/>
      <c r="K1301" s="150"/>
      <c r="L1301" s="150"/>
      <c r="M1301" s="150"/>
      <c r="N1301" s="150"/>
      <c r="O1301" s="150"/>
      <c r="P1301" s="150"/>
      <c r="Q1301" s="150"/>
      <c r="R1301" s="150"/>
      <c r="S1301" s="150"/>
      <c r="T1301" s="186"/>
      <c r="U1301" s="186"/>
      <c r="V1301" s="186"/>
      <c r="W1301" s="186"/>
      <c r="X1301" s="186"/>
      <c r="Y1301" s="186"/>
      <c r="Z1301" s="186"/>
      <c r="AA1301" s="186"/>
      <c r="AB1301" s="186"/>
      <c r="AC1301" s="186"/>
      <c r="AD1301" s="186"/>
      <c r="AF1301" s="150"/>
      <c r="AG1301" s="150"/>
      <c r="AH1301" s="150"/>
      <c r="AI1301" s="150"/>
      <c r="AJ1301" s="150"/>
      <c r="AK1301" s="150"/>
      <c r="AL1301" s="150"/>
      <c r="AM1301" s="150"/>
      <c r="AN1301" s="150"/>
      <c r="AO1301" s="150"/>
      <c r="AP1301" s="150"/>
      <c r="AQ1301" s="150"/>
      <c r="AT1301" s="186"/>
      <c r="AU1301" s="186"/>
      <c r="AV1301" s="186"/>
      <c r="AW1301" s="186"/>
      <c r="AX1301" s="186"/>
      <c r="AY1301" s="186"/>
      <c r="AZ1301" s="186"/>
      <c r="BA1301" s="186"/>
      <c r="BB1301" s="186"/>
      <c r="BC1301" s="186"/>
      <c r="BD1301" s="186"/>
      <c r="BE1301" s="186"/>
      <c r="BF1301" s="150"/>
      <c r="BG1301" s="150"/>
    </row>
    <row r="1302" spans="3:59" ht="14.6">
      <c r="C1302" s="289"/>
      <c r="D1302" s="150"/>
      <c r="E1302" s="150"/>
      <c r="F1302" s="150"/>
      <c r="G1302" s="150"/>
      <c r="H1302" s="150"/>
      <c r="I1302" s="150"/>
      <c r="J1302" s="150"/>
      <c r="K1302" s="150"/>
      <c r="L1302" s="150"/>
      <c r="M1302" s="150"/>
      <c r="N1302" s="150"/>
      <c r="O1302" s="150"/>
      <c r="P1302" s="150"/>
      <c r="Q1302" s="150"/>
      <c r="R1302" s="150"/>
      <c r="S1302" s="150"/>
      <c r="T1302" s="186"/>
      <c r="U1302" s="186"/>
      <c r="V1302" s="186"/>
      <c r="W1302" s="186"/>
      <c r="X1302" s="186"/>
      <c r="Y1302" s="186"/>
      <c r="Z1302" s="186"/>
      <c r="AA1302" s="186"/>
      <c r="AB1302" s="186"/>
      <c r="AC1302" s="186"/>
      <c r="AD1302" s="186"/>
      <c r="AF1302" s="150"/>
      <c r="AG1302" s="150"/>
      <c r="AH1302" s="150"/>
      <c r="AI1302" s="150"/>
      <c r="AJ1302" s="150"/>
      <c r="AK1302" s="150"/>
      <c r="AL1302" s="150"/>
      <c r="AM1302" s="150"/>
      <c r="AN1302" s="150"/>
      <c r="AO1302" s="150"/>
      <c r="AP1302" s="150"/>
      <c r="AQ1302" s="150"/>
      <c r="AT1302" s="186"/>
      <c r="AU1302" s="186"/>
      <c r="AV1302" s="186"/>
      <c r="AW1302" s="186"/>
      <c r="AX1302" s="186"/>
      <c r="AY1302" s="186"/>
      <c r="AZ1302" s="186"/>
      <c r="BA1302" s="186"/>
      <c r="BB1302" s="186"/>
      <c r="BC1302" s="186"/>
      <c r="BD1302" s="186"/>
      <c r="BE1302" s="186"/>
      <c r="BF1302" s="150"/>
      <c r="BG1302" s="150"/>
    </row>
    <row r="1303" spans="3:59" ht="14.6">
      <c r="C1303" s="289"/>
      <c r="D1303" s="150"/>
      <c r="E1303" s="150"/>
      <c r="F1303" s="150"/>
      <c r="G1303" s="150"/>
      <c r="H1303" s="150"/>
      <c r="I1303" s="150"/>
      <c r="J1303" s="150"/>
      <c r="K1303" s="150"/>
      <c r="L1303" s="150"/>
      <c r="M1303" s="150"/>
      <c r="N1303" s="150"/>
      <c r="O1303" s="150"/>
      <c r="P1303" s="150"/>
      <c r="Q1303" s="150"/>
      <c r="R1303" s="150"/>
      <c r="S1303" s="150"/>
      <c r="T1303" s="186"/>
      <c r="U1303" s="186"/>
      <c r="V1303" s="186"/>
      <c r="W1303" s="186"/>
      <c r="X1303" s="186"/>
      <c r="Y1303" s="186"/>
      <c r="Z1303" s="186"/>
      <c r="AA1303" s="186"/>
      <c r="AB1303" s="186"/>
      <c r="AC1303" s="186"/>
      <c r="AD1303" s="186"/>
      <c r="AF1303" s="150"/>
      <c r="AG1303" s="150"/>
      <c r="AH1303" s="150"/>
      <c r="AI1303" s="150"/>
      <c r="AJ1303" s="150"/>
      <c r="AK1303" s="150"/>
      <c r="AL1303" s="150"/>
      <c r="AM1303" s="150"/>
      <c r="AN1303" s="150"/>
      <c r="AO1303" s="150"/>
      <c r="AP1303" s="150"/>
      <c r="AQ1303" s="150"/>
      <c r="AT1303" s="186"/>
      <c r="AU1303" s="186"/>
      <c r="AV1303" s="186"/>
      <c r="AW1303" s="186"/>
      <c r="AX1303" s="186"/>
      <c r="AY1303" s="186"/>
      <c r="AZ1303" s="186"/>
      <c r="BA1303" s="186"/>
      <c r="BB1303" s="186"/>
      <c r="BC1303" s="186"/>
      <c r="BD1303" s="186"/>
      <c r="BE1303" s="186"/>
      <c r="BF1303" s="150"/>
      <c r="BG1303" s="150"/>
    </row>
    <row r="1304" spans="3:59" ht="14.6">
      <c r="C1304" s="289"/>
      <c r="D1304" s="150"/>
      <c r="E1304" s="150"/>
      <c r="F1304" s="150"/>
      <c r="G1304" s="150"/>
      <c r="H1304" s="150"/>
      <c r="I1304" s="150"/>
      <c r="J1304" s="150"/>
      <c r="K1304" s="150"/>
      <c r="L1304" s="150"/>
      <c r="M1304" s="150"/>
      <c r="N1304" s="150"/>
      <c r="O1304" s="150"/>
      <c r="P1304" s="150"/>
      <c r="Q1304" s="150"/>
      <c r="R1304" s="150"/>
      <c r="S1304" s="150"/>
      <c r="T1304" s="186"/>
      <c r="U1304" s="186"/>
      <c r="V1304" s="186"/>
      <c r="W1304" s="186"/>
      <c r="X1304" s="186"/>
      <c r="Y1304" s="186"/>
      <c r="Z1304" s="186"/>
      <c r="AA1304" s="186"/>
      <c r="AB1304" s="186"/>
      <c r="AC1304" s="186"/>
      <c r="AD1304" s="186"/>
      <c r="AF1304" s="150"/>
      <c r="AG1304" s="150"/>
      <c r="AH1304" s="150"/>
      <c r="AI1304" s="150"/>
      <c r="AJ1304" s="150"/>
      <c r="AK1304" s="150"/>
      <c r="AL1304" s="150"/>
      <c r="AM1304" s="150"/>
      <c r="AN1304" s="150"/>
      <c r="AO1304" s="150"/>
      <c r="AP1304" s="150"/>
      <c r="AQ1304" s="150"/>
      <c r="AT1304" s="186"/>
      <c r="AU1304" s="186"/>
      <c r="AV1304" s="186"/>
      <c r="AW1304" s="186"/>
      <c r="AX1304" s="186"/>
      <c r="AY1304" s="186"/>
      <c r="AZ1304" s="186"/>
      <c r="BA1304" s="186"/>
      <c r="BB1304" s="186"/>
      <c r="BC1304" s="186"/>
      <c r="BD1304" s="186"/>
      <c r="BE1304" s="186"/>
      <c r="BF1304" s="150"/>
      <c r="BG1304" s="150"/>
    </row>
    <row r="1305" spans="3:59" ht="14.6">
      <c r="C1305" s="289"/>
      <c r="D1305" s="150"/>
      <c r="E1305" s="150"/>
      <c r="F1305" s="150"/>
      <c r="G1305" s="150"/>
      <c r="H1305" s="150"/>
      <c r="I1305" s="150"/>
      <c r="J1305" s="150"/>
      <c r="K1305" s="150"/>
      <c r="L1305" s="150"/>
      <c r="M1305" s="150"/>
      <c r="N1305" s="150"/>
      <c r="O1305" s="150"/>
      <c r="P1305" s="150"/>
      <c r="Q1305" s="150"/>
      <c r="R1305" s="150"/>
      <c r="S1305" s="150"/>
      <c r="T1305" s="186"/>
      <c r="U1305" s="186"/>
      <c r="V1305" s="186"/>
      <c r="W1305" s="186"/>
      <c r="X1305" s="186"/>
      <c r="Y1305" s="186"/>
      <c r="Z1305" s="186"/>
      <c r="AA1305" s="186"/>
      <c r="AB1305" s="186"/>
      <c r="AC1305" s="186"/>
      <c r="AD1305" s="186"/>
      <c r="AF1305" s="150"/>
      <c r="AG1305" s="150"/>
      <c r="AH1305" s="150"/>
      <c r="AI1305" s="150"/>
      <c r="AJ1305" s="150"/>
      <c r="AK1305" s="150"/>
      <c r="AL1305" s="150"/>
      <c r="AM1305" s="150"/>
      <c r="AN1305" s="150"/>
      <c r="AO1305" s="150"/>
      <c r="AP1305" s="150"/>
      <c r="AQ1305" s="150"/>
      <c r="AT1305" s="186"/>
      <c r="AU1305" s="186"/>
      <c r="AV1305" s="186"/>
      <c r="AW1305" s="186"/>
      <c r="AX1305" s="186"/>
      <c r="AY1305" s="186"/>
      <c r="AZ1305" s="186"/>
      <c r="BA1305" s="186"/>
      <c r="BB1305" s="186"/>
      <c r="BC1305" s="186"/>
      <c r="BD1305" s="186"/>
      <c r="BE1305" s="186"/>
      <c r="BF1305" s="150"/>
      <c r="BG1305" s="150"/>
    </row>
    <row r="1306" spans="3:59" ht="14.6">
      <c r="C1306" s="289"/>
      <c r="D1306" s="150"/>
      <c r="E1306" s="150"/>
      <c r="F1306" s="150"/>
      <c r="G1306" s="150"/>
      <c r="H1306" s="150"/>
      <c r="I1306" s="150"/>
      <c r="J1306" s="150"/>
      <c r="K1306" s="150"/>
      <c r="L1306" s="150"/>
      <c r="M1306" s="150"/>
      <c r="N1306" s="150"/>
      <c r="O1306" s="150"/>
      <c r="P1306" s="150"/>
      <c r="Q1306" s="150"/>
      <c r="R1306" s="150"/>
      <c r="S1306" s="150"/>
      <c r="T1306" s="186"/>
      <c r="U1306" s="186"/>
      <c r="V1306" s="186"/>
      <c r="W1306" s="186"/>
      <c r="X1306" s="186"/>
      <c r="Y1306" s="186"/>
      <c r="Z1306" s="186"/>
      <c r="AA1306" s="186"/>
      <c r="AB1306" s="186"/>
      <c r="AC1306" s="186"/>
      <c r="AD1306" s="186"/>
      <c r="AF1306" s="150"/>
      <c r="AG1306" s="150"/>
      <c r="AH1306" s="150"/>
      <c r="AI1306" s="150"/>
      <c r="AJ1306" s="150"/>
      <c r="AK1306" s="150"/>
      <c r="AL1306" s="150"/>
      <c r="AM1306" s="150"/>
      <c r="AN1306" s="150"/>
      <c r="AO1306" s="150"/>
      <c r="AP1306" s="150"/>
      <c r="AQ1306" s="150"/>
      <c r="AT1306" s="186"/>
      <c r="AU1306" s="186"/>
      <c r="AV1306" s="186"/>
      <c r="AW1306" s="186"/>
      <c r="AX1306" s="186"/>
      <c r="AY1306" s="186"/>
      <c r="AZ1306" s="186"/>
      <c r="BA1306" s="186"/>
      <c r="BB1306" s="186"/>
      <c r="BC1306" s="186"/>
      <c r="BD1306" s="186"/>
      <c r="BE1306" s="186"/>
      <c r="BF1306" s="150"/>
      <c r="BG1306" s="150"/>
    </row>
    <row r="1307" spans="3:59" ht="14.6">
      <c r="C1307" s="289"/>
      <c r="D1307" s="150"/>
      <c r="E1307" s="150"/>
      <c r="F1307" s="150"/>
      <c r="G1307" s="150"/>
      <c r="H1307" s="150"/>
      <c r="I1307" s="150"/>
      <c r="J1307" s="150"/>
      <c r="K1307" s="150"/>
      <c r="L1307" s="150"/>
      <c r="M1307" s="150"/>
      <c r="N1307" s="150"/>
      <c r="O1307" s="150"/>
      <c r="P1307" s="150"/>
      <c r="Q1307" s="150"/>
      <c r="R1307" s="150"/>
      <c r="S1307" s="150"/>
      <c r="T1307" s="186"/>
      <c r="U1307" s="186"/>
      <c r="V1307" s="186"/>
      <c r="W1307" s="186"/>
      <c r="X1307" s="186"/>
      <c r="Y1307" s="186"/>
      <c r="Z1307" s="186"/>
      <c r="AA1307" s="186"/>
      <c r="AB1307" s="186"/>
      <c r="AC1307" s="186"/>
      <c r="AD1307" s="186"/>
      <c r="AF1307" s="150"/>
      <c r="AG1307" s="150"/>
      <c r="AH1307" s="150"/>
      <c r="AI1307" s="150"/>
      <c r="AJ1307" s="150"/>
      <c r="AK1307" s="150"/>
      <c r="AL1307" s="150"/>
      <c r="AM1307" s="150"/>
      <c r="AN1307" s="150"/>
      <c r="AO1307" s="150"/>
      <c r="AP1307" s="150"/>
      <c r="AQ1307" s="150"/>
      <c r="AT1307" s="186"/>
      <c r="AU1307" s="186"/>
      <c r="AV1307" s="186"/>
      <c r="AW1307" s="186"/>
      <c r="AX1307" s="186"/>
      <c r="AY1307" s="186"/>
      <c r="AZ1307" s="186"/>
      <c r="BA1307" s="186"/>
      <c r="BB1307" s="186"/>
      <c r="BC1307" s="186"/>
      <c r="BD1307" s="186"/>
      <c r="BE1307" s="186"/>
      <c r="BF1307" s="150"/>
      <c r="BG1307" s="150"/>
    </row>
    <row r="1308" spans="3:59" ht="14.6">
      <c r="C1308" s="289"/>
      <c r="D1308" s="150"/>
      <c r="E1308" s="150"/>
      <c r="F1308" s="150"/>
      <c r="G1308" s="150"/>
      <c r="H1308" s="150"/>
      <c r="I1308" s="150"/>
      <c r="J1308" s="150"/>
      <c r="K1308" s="150"/>
      <c r="L1308" s="150"/>
      <c r="M1308" s="150"/>
      <c r="N1308" s="150"/>
      <c r="O1308" s="150"/>
      <c r="P1308" s="150"/>
      <c r="Q1308" s="150"/>
      <c r="R1308" s="150"/>
      <c r="S1308" s="150"/>
      <c r="T1308" s="186"/>
      <c r="U1308" s="186"/>
      <c r="V1308" s="186"/>
      <c r="W1308" s="186"/>
      <c r="X1308" s="186"/>
      <c r="Y1308" s="186"/>
      <c r="Z1308" s="186"/>
      <c r="AA1308" s="186"/>
      <c r="AB1308" s="186"/>
      <c r="AC1308" s="186"/>
      <c r="AD1308" s="186"/>
      <c r="AF1308" s="150"/>
      <c r="AG1308" s="150"/>
      <c r="AH1308" s="150"/>
      <c r="AI1308" s="150"/>
      <c r="AJ1308" s="150"/>
      <c r="AK1308" s="150"/>
      <c r="AL1308" s="150"/>
      <c r="AM1308" s="150"/>
      <c r="AN1308" s="150"/>
      <c r="AO1308" s="150"/>
      <c r="AP1308" s="150"/>
      <c r="AQ1308" s="150"/>
      <c r="AT1308" s="186"/>
      <c r="AU1308" s="186"/>
      <c r="AV1308" s="186"/>
      <c r="AW1308" s="186"/>
      <c r="AX1308" s="186"/>
      <c r="AY1308" s="186"/>
      <c r="AZ1308" s="186"/>
      <c r="BA1308" s="186"/>
      <c r="BB1308" s="186"/>
      <c r="BC1308" s="186"/>
      <c r="BD1308" s="186"/>
      <c r="BE1308" s="186"/>
      <c r="BF1308" s="150"/>
      <c r="BG1308" s="150"/>
    </row>
    <row r="1309" spans="3:59" ht="14.6">
      <c r="C1309" s="289"/>
      <c r="D1309" s="150"/>
      <c r="E1309" s="150"/>
      <c r="F1309" s="150"/>
      <c r="G1309" s="150"/>
      <c r="H1309" s="150"/>
      <c r="I1309" s="150"/>
      <c r="J1309" s="150"/>
      <c r="K1309" s="150"/>
      <c r="L1309" s="150"/>
      <c r="M1309" s="150"/>
      <c r="N1309" s="150"/>
      <c r="O1309" s="150"/>
      <c r="P1309" s="150"/>
      <c r="Q1309" s="150"/>
      <c r="R1309" s="150"/>
      <c r="S1309" s="150"/>
      <c r="T1309" s="186"/>
      <c r="U1309" s="186"/>
      <c r="V1309" s="186"/>
      <c r="W1309" s="186"/>
      <c r="X1309" s="186"/>
      <c r="Y1309" s="186"/>
      <c r="Z1309" s="186"/>
      <c r="AA1309" s="186"/>
      <c r="AB1309" s="186"/>
      <c r="AC1309" s="186"/>
      <c r="AD1309" s="186"/>
      <c r="AF1309" s="150"/>
      <c r="AG1309" s="150"/>
      <c r="AH1309" s="150"/>
      <c r="AI1309" s="150"/>
      <c r="AJ1309" s="150"/>
      <c r="AK1309" s="150"/>
      <c r="AL1309" s="150"/>
      <c r="AM1309" s="150"/>
      <c r="AN1309" s="150"/>
      <c r="AO1309" s="150"/>
      <c r="AP1309" s="150"/>
      <c r="AQ1309" s="150"/>
      <c r="AT1309" s="186"/>
      <c r="AU1309" s="186"/>
      <c r="AV1309" s="186"/>
      <c r="AW1309" s="186"/>
      <c r="AX1309" s="186"/>
      <c r="AY1309" s="186"/>
      <c r="AZ1309" s="186"/>
      <c r="BA1309" s="186"/>
      <c r="BB1309" s="186"/>
      <c r="BC1309" s="186"/>
      <c r="BD1309" s="186"/>
      <c r="BE1309" s="186"/>
      <c r="BF1309" s="150"/>
      <c r="BG1309" s="150"/>
    </row>
    <row r="1310" spans="3:59" ht="14.6">
      <c r="C1310" s="289"/>
      <c r="D1310" s="150"/>
      <c r="E1310" s="150"/>
      <c r="F1310" s="150"/>
      <c r="G1310" s="150"/>
      <c r="H1310" s="150"/>
      <c r="I1310" s="150"/>
      <c r="J1310" s="150"/>
      <c r="K1310" s="150"/>
      <c r="L1310" s="150"/>
      <c r="M1310" s="150"/>
      <c r="N1310" s="150"/>
      <c r="O1310" s="150"/>
      <c r="P1310" s="150"/>
      <c r="Q1310" s="150"/>
      <c r="R1310" s="150"/>
      <c r="S1310" s="150"/>
      <c r="T1310" s="186"/>
      <c r="U1310" s="186"/>
      <c r="V1310" s="186"/>
      <c r="W1310" s="186"/>
      <c r="X1310" s="186"/>
      <c r="Y1310" s="186"/>
      <c r="Z1310" s="186"/>
      <c r="AA1310" s="186"/>
      <c r="AB1310" s="186"/>
      <c r="AC1310" s="186"/>
      <c r="AD1310" s="186"/>
      <c r="AF1310" s="150"/>
      <c r="AG1310" s="150"/>
      <c r="AH1310" s="150"/>
      <c r="AI1310" s="150"/>
      <c r="AJ1310" s="150"/>
      <c r="AK1310" s="150"/>
      <c r="AL1310" s="150"/>
      <c r="AM1310" s="150"/>
      <c r="AN1310" s="150"/>
      <c r="AO1310" s="150"/>
      <c r="AP1310" s="150"/>
      <c r="AQ1310" s="150"/>
      <c r="AT1310" s="186"/>
      <c r="AU1310" s="186"/>
      <c r="AV1310" s="186"/>
      <c r="AW1310" s="186"/>
      <c r="AX1310" s="186"/>
      <c r="AY1310" s="186"/>
      <c r="AZ1310" s="186"/>
      <c r="BA1310" s="186"/>
      <c r="BB1310" s="186"/>
      <c r="BC1310" s="186"/>
      <c r="BD1310" s="186"/>
      <c r="BE1310" s="186"/>
      <c r="BF1310" s="150"/>
      <c r="BG1310" s="150"/>
    </row>
    <row r="1311" spans="3:59" ht="14.6">
      <c r="C1311" s="289"/>
      <c r="D1311" s="150"/>
      <c r="E1311" s="150"/>
      <c r="F1311" s="150"/>
      <c r="G1311" s="150"/>
      <c r="H1311" s="150"/>
      <c r="I1311" s="150"/>
      <c r="J1311" s="150"/>
      <c r="K1311" s="150"/>
      <c r="L1311" s="150"/>
      <c r="M1311" s="150"/>
      <c r="N1311" s="150"/>
      <c r="O1311" s="150"/>
      <c r="P1311" s="150"/>
      <c r="Q1311" s="150"/>
      <c r="R1311" s="150"/>
      <c r="S1311" s="150"/>
      <c r="T1311" s="186"/>
      <c r="U1311" s="186"/>
      <c r="V1311" s="186"/>
      <c r="W1311" s="186"/>
      <c r="X1311" s="186"/>
      <c r="Y1311" s="186"/>
      <c r="Z1311" s="186"/>
      <c r="AA1311" s="186"/>
      <c r="AB1311" s="186"/>
      <c r="AC1311" s="186"/>
      <c r="AD1311" s="186"/>
      <c r="AF1311" s="150"/>
      <c r="AG1311" s="150"/>
      <c r="AH1311" s="150"/>
      <c r="AI1311" s="150"/>
      <c r="AJ1311" s="150"/>
      <c r="AK1311" s="150"/>
      <c r="AL1311" s="150"/>
      <c r="AM1311" s="150"/>
      <c r="AN1311" s="150"/>
      <c r="AO1311" s="150"/>
      <c r="AP1311" s="150"/>
      <c r="AQ1311" s="150"/>
      <c r="AT1311" s="186"/>
      <c r="AU1311" s="186"/>
      <c r="AV1311" s="186"/>
      <c r="AW1311" s="186"/>
      <c r="AX1311" s="186"/>
      <c r="AY1311" s="186"/>
      <c r="AZ1311" s="186"/>
      <c r="BA1311" s="186"/>
      <c r="BB1311" s="186"/>
      <c r="BC1311" s="186"/>
      <c r="BD1311" s="186"/>
      <c r="BE1311" s="186"/>
      <c r="BF1311" s="150"/>
      <c r="BG1311" s="150"/>
    </row>
    <row r="1312" spans="3:59" ht="14.6">
      <c r="C1312" s="289"/>
      <c r="D1312" s="150"/>
      <c r="E1312" s="150"/>
      <c r="F1312" s="150"/>
      <c r="G1312" s="150"/>
      <c r="H1312" s="150"/>
      <c r="I1312" s="150"/>
      <c r="J1312" s="150"/>
      <c r="K1312" s="150"/>
      <c r="L1312" s="150"/>
      <c r="M1312" s="150"/>
      <c r="N1312" s="150"/>
      <c r="O1312" s="150"/>
      <c r="P1312" s="150"/>
      <c r="Q1312" s="150"/>
      <c r="R1312" s="150"/>
      <c r="S1312" s="150"/>
      <c r="T1312" s="186"/>
      <c r="U1312" s="186"/>
      <c r="V1312" s="186"/>
      <c r="W1312" s="186"/>
      <c r="X1312" s="186"/>
      <c r="Y1312" s="186"/>
      <c r="Z1312" s="186"/>
      <c r="AA1312" s="186"/>
      <c r="AB1312" s="186"/>
      <c r="AC1312" s="186"/>
      <c r="AD1312" s="186"/>
      <c r="AF1312" s="150"/>
      <c r="AG1312" s="150"/>
      <c r="AH1312" s="150"/>
      <c r="AI1312" s="150"/>
      <c r="AJ1312" s="150"/>
      <c r="AK1312" s="150"/>
      <c r="AL1312" s="150"/>
      <c r="AM1312" s="150"/>
      <c r="AN1312" s="150"/>
      <c r="AO1312" s="150"/>
      <c r="AP1312" s="150"/>
      <c r="AQ1312" s="150"/>
      <c r="AT1312" s="186"/>
      <c r="AU1312" s="186"/>
      <c r="AV1312" s="186"/>
      <c r="AW1312" s="186"/>
      <c r="AX1312" s="186"/>
      <c r="AY1312" s="186"/>
      <c r="AZ1312" s="186"/>
      <c r="BA1312" s="186"/>
      <c r="BB1312" s="186"/>
      <c r="BC1312" s="186"/>
      <c r="BD1312" s="186"/>
      <c r="BE1312" s="186"/>
      <c r="BF1312" s="150"/>
      <c r="BG1312" s="150"/>
    </row>
    <row r="1313" spans="3:59" ht="14.6">
      <c r="C1313" s="289"/>
      <c r="D1313" s="150"/>
      <c r="E1313" s="150"/>
      <c r="F1313" s="150"/>
      <c r="G1313" s="150"/>
      <c r="H1313" s="150"/>
      <c r="I1313" s="150"/>
      <c r="J1313" s="150"/>
      <c r="K1313" s="150"/>
      <c r="L1313" s="150"/>
      <c r="M1313" s="150"/>
      <c r="N1313" s="150"/>
      <c r="O1313" s="150"/>
      <c r="P1313" s="150"/>
      <c r="Q1313" s="150"/>
      <c r="R1313" s="150"/>
      <c r="S1313" s="150"/>
      <c r="T1313" s="186"/>
      <c r="U1313" s="186"/>
      <c r="V1313" s="186"/>
      <c r="W1313" s="186"/>
      <c r="X1313" s="186"/>
      <c r="Y1313" s="186"/>
      <c r="Z1313" s="186"/>
      <c r="AA1313" s="186"/>
      <c r="AB1313" s="186"/>
      <c r="AC1313" s="186"/>
      <c r="AD1313" s="186"/>
      <c r="AF1313" s="150"/>
      <c r="AG1313" s="150"/>
      <c r="AH1313" s="150"/>
      <c r="AI1313" s="150"/>
      <c r="AJ1313" s="150"/>
      <c r="AK1313" s="150"/>
      <c r="AL1313" s="150"/>
      <c r="AM1313" s="150"/>
      <c r="AN1313" s="150"/>
      <c r="AO1313" s="150"/>
      <c r="AP1313" s="150"/>
      <c r="AQ1313" s="150"/>
      <c r="AT1313" s="186"/>
      <c r="AU1313" s="186"/>
      <c r="AV1313" s="186"/>
      <c r="AW1313" s="186"/>
      <c r="AX1313" s="186"/>
      <c r="AY1313" s="186"/>
      <c r="AZ1313" s="186"/>
      <c r="BA1313" s="186"/>
      <c r="BB1313" s="186"/>
      <c r="BC1313" s="186"/>
      <c r="BD1313" s="186"/>
      <c r="BE1313" s="186"/>
      <c r="BF1313" s="150"/>
      <c r="BG1313" s="150"/>
    </row>
    <row r="1314" spans="3:59" ht="14.6">
      <c r="C1314" s="289"/>
      <c r="D1314" s="150"/>
      <c r="E1314" s="150"/>
      <c r="F1314" s="150"/>
      <c r="G1314" s="150"/>
      <c r="H1314" s="150"/>
      <c r="I1314" s="150"/>
      <c r="J1314" s="150"/>
      <c r="K1314" s="150"/>
      <c r="L1314" s="150"/>
      <c r="M1314" s="150"/>
      <c r="N1314" s="150"/>
      <c r="O1314" s="150"/>
      <c r="P1314" s="150"/>
      <c r="Q1314" s="150"/>
      <c r="R1314" s="150"/>
      <c r="S1314" s="150"/>
      <c r="T1314" s="186"/>
      <c r="U1314" s="186"/>
      <c r="V1314" s="186"/>
      <c r="W1314" s="186"/>
      <c r="X1314" s="186"/>
      <c r="Y1314" s="186"/>
      <c r="Z1314" s="186"/>
      <c r="AA1314" s="186"/>
      <c r="AB1314" s="186"/>
      <c r="AC1314" s="186"/>
      <c r="AD1314" s="186"/>
      <c r="AF1314" s="150"/>
      <c r="AG1314" s="150"/>
      <c r="AH1314" s="150"/>
      <c r="AI1314" s="150"/>
      <c r="AJ1314" s="150"/>
      <c r="AK1314" s="150"/>
      <c r="AL1314" s="150"/>
      <c r="AM1314" s="150"/>
      <c r="AN1314" s="150"/>
      <c r="AO1314" s="150"/>
      <c r="AP1314" s="150"/>
      <c r="AQ1314" s="150"/>
      <c r="AT1314" s="186"/>
      <c r="AU1314" s="186"/>
      <c r="AV1314" s="186"/>
      <c r="AW1314" s="186"/>
      <c r="AX1314" s="186"/>
      <c r="AY1314" s="186"/>
      <c r="AZ1314" s="186"/>
      <c r="BA1314" s="186"/>
      <c r="BB1314" s="186"/>
      <c r="BC1314" s="186"/>
      <c r="BD1314" s="186"/>
      <c r="BE1314" s="186"/>
      <c r="BF1314" s="150"/>
      <c r="BG1314" s="150"/>
    </row>
    <row r="1315" spans="3:59" ht="14.6">
      <c r="C1315" s="289"/>
      <c r="D1315" s="150"/>
      <c r="E1315" s="150"/>
      <c r="F1315" s="150"/>
      <c r="G1315" s="150"/>
      <c r="H1315" s="150"/>
      <c r="I1315" s="150"/>
      <c r="J1315" s="150"/>
      <c r="K1315" s="150"/>
      <c r="L1315" s="150"/>
      <c r="M1315" s="150"/>
      <c r="N1315" s="150"/>
      <c r="O1315" s="150"/>
      <c r="P1315" s="150"/>
      <c r="Q1315" s="150"/>
      <c r="R1315" s="150"/>
      <c r="S1315" s="150"/>
      <c r="T1315" s="186"/>
      <c r="U1315" s="186"/>
      <c r="V1315" s="186"/>
      <c r="W1315" s="186"/>
      <c r="X1315" s="186"/>
      <c r="Y1315" s="186"/>
      <c r="Z1315" s="186"/>
      <c r="AA1315" s="186"/>
      <c r="AB1315" s="186"/>
      <c r="AC1315" s="186"/>
      <c r="AD1315" s="186"/>
      <c r="AF1315" s="150"/>
      <c r="AG1315" s="150"/>
      <c r="AH1315" s="150"/>
      <c r="AI1315" s="150"/>
      <c r="AJ1315" s="150"/>
      <c r="AK1315" s="150"/>
      <c r="AL1315" s="150"/>
      <c r="AM1315" s="150"/>
      <c r="AN1315" s="150"/>
      <c r="AO1315" s="150"/>
      <c r="AP1315" s="150"/>
      <c r="AQ1315" s="150"/>
      <c r="AT1315" s="186"/>
      <c r="AU1315" s="186"/>
      <c r="AV1315" s="186"/>
      <c r="AW1315" s="186"/>
      <c r="AX1315" s="186"/>
      <c r="AY1315" s="186"/>
      <c r="AZ1315" s="186"/>
      <c r="BA1315" s="186"/>
      <c r="BB1315" s="186"/>
      <c r="BC1315" s="186"/>
      <c r="BD1315" s="186"/>
      <c r="BE1315" s="186"/>
      <c r="BF1315" s="150"/>
      <c r="BG1315" s="150"/>
    </row>
    <row r="1316" spans="3:59" ht="14.6">
      <c r="C1316" s="289"/>
      <c r="D1316" s="150"/>
      <c r="E1316" s="150"/>
      <c r="F1316" s="150"/>
      <c r="G1316" s="150"/>
      <c r="H1316" s="150"/>
      <c r="I1316" s="150"/>
      <c r="J1316" s="150"/>
      <c r="K1316" s="150"/>
      <c r="L1316" s="150"/>
      <c r="M1316" s="150"/>
      <c r="N1316" s="150"/>
      <c r="O1316" s="150"/>
      <c r="P1316" s="150"/>
      <c r="Q1316" s="150"/>
      <c r="R1316" s="150"/>
      <c r="S1316" s="150"/>
      <c r="T1316" s="186"/>
      <c r="U1316" s="186"/>
      <c r="V1316" s="186"/>
      <c r="W1316" s="186"/>
      <c r="X1316" s="186"/>
      <c r="Y1316" s="186"/>
      <c r="Z1316" s="186"/>
      <c r="AA1316" s="186"/>
      <c r="AB1316" s="186"/>
      <c r="AC1316" s="186"/>
      <c r="AD1316" s="186"/>
      <c r="AF1316" s="150"/>
      <c r="AG1316" s="150"/>
      <c r="AH1316" s="150"/>
      <c r="AI1316" s="150"/>
      <c r="AJ1316" s="150"/>
      <c r="AK1316" s="150"/>
      <c r="AL1316" s="150"/>
      <c r="AM1316" s="150"/>
      <c r="AN1316" s="150"/>
      <c r="AO1316" s="150"/>
      <c r="AP1316" s="150"/>
      <c r="AQ1316" s="150"/>
      <c r="AT1316" s="186"/>
      <c r="AU1316" s="186"/>
      <c r="AV1316" s="186"/>
      <c r="AW1316" s="186"/>
      <c r="AX1316" s="186"/>
      <c r="AY1316" s="186"/>
      <c r="AZ1316" s="186"/>
      <c r="BA1316" s="186"/>
      <c r="BB1316" s="186"/>
      <c r="BC1316" s="186"/>
      <c r="BD1316" s="186"/>
      <c r="BE1316" s="186"/>
      <c r="BF1316" s="150"/>
      <c r="BG1316" s="150"/>
    </row>
    <row r="1317" spans="3:59" ht="14.6">
      <c r="C1317" s="289"/>
      <c r="D1317" s="150"/>
      <c r="E1317" s="150"/>
      <c r="F1317" s="150"/>
      <c r="G1317" s="150"/>
      <c r="H1317" s="150"/>
      <c r="I1317" s="150"/>
      <c r="J1317" s="150"/>
      <c r="K1317" s="150"/>
      <c r="L1317" s="150"/>
      <c r="M1317" s="150"/>
      <c r="N1317" s="150"/>
      <c r="O1317" s="150"/>
      <c r="P1317" s="150"/>
      <c r="Q1317" s="150"/>
      <c r="R1317" s="150"/>
      <c r="S1317" s="150"/>
      <c r="T1317" s="186"/>
      <c r="U1317" s="186"/>
      <c r="V1317" s="186"/>
      <c r="W1317" s="186"/>
      <c r="X1317" s="186"/>
      <c r="Y1317" s="186"/>
      <c r="Z1317" s="186"/>
      <c r="AA1317" s="186"/>
      <c r="AB1317" s="186"/>
      <c r="AC1317" s="186"/>
      <c r="AD1317" s="186"/>
      <c r="AF1317" s="150"/>
      <c r="AG1317" s="150"/>
      <c r="AH1317" s="150"/>
      <c r="AI1317" s="150"/>
      <c r="AJ1317" s="150"/>
      <c r="AK1317" s="150"/>
      <c r="AL1317" s="150"/>
      <c r="AM1317" s="150"/>
      <c r="AN1317" s="150"/>
      <c r="AO1317" s="150"/>
      <c r="AP1317" s="150"/>
      <c r="AQ1317" s="150"/>
      <c r="AT1317" s="186"/>
      <c r="AU1317" s="186"/>
      <c r="AV1317" s="186"/>
      <c r="AW1317" s="186"/>
      <c r="AX1317" s="186"/>
      <c r="AY1317" s="186"/>
      <c r="AZ1317" s="186"/>
      <c r="BA1317" s="186"/>
      <c r="BB1317" s="186"/>
      <c r="BC1317" s="186"/>
      <c r="BD1317" s="186"/>
      <c r="BE1317" s="186"/>
      <c r="BF1317" s="150"/>
      <c r="BG1317" s="150"/>
    </row>
    <row r="1318" spans="3:59" ht="14.6">
      <c r="C1318" s="289"/>
      <c r="D1318" s="150"/>
      <c r="E1318" s="150"/>
      <c r="F1318" s="150"/>
      <c r="G1318" s="150"/>
      <c r="H1318" s="150"/>
      <c r="I1318" s="150"/>
      <c r="J1318" s="150"/>
      <c r="K1318" s="150"/>
      <c r="L1318" s="150"/>
      <c r="M1318" s="150"/>
      <c r="N1318" s="150"/>
      <c r="O1318" s="150"/>
      <c r="P1318" s="150"/>
      <c r="Q1318" s="150"/>
      <c r="R1318" s="150"/>
      <c r="S1318" s="150"/>
      <c r="T1318" s="186"/>
      <c r="U1318" s="186"/>
      <c r="V1318" s="186"/>
      <c r="W1318" s="186"/>
      <c r="X1318" s="186"/>
      <c r="Y1318" s="186"/>
      <c r="Z1318" s="186"/>
      <c r="AA1318" s="186"/>
      <c r="AB1318" s="186"/>
      <c r="AC1318" s="186"/>
      <c r="AD1318" s="186"/>
      <c r="AF1318" s="150"/>
      <c r="AG1318" s="150"/>
      <c r="AH1318" s="150"/>
      <c r="AI1318" s="150"/>
      <c r="AJ1318" s="150"/>
      <c r="AK1318" s="150"/>
      <c r="AL1318" s="150"/>
      <c r="AM1318" s="150"/>
      <c r="AN1318" s="150"/>
      <c r="AO1318" s="150"/>
      <c r="AP1318" s="150"/>
      <c r="AQ1318" s="150"/>
      <c r="AT1318" s="186"/>
      <c r="AU1318" s="186"/>
      <c r="AV1318" s="186"/>
      <c r="AW1318" s="186"/>
      <c r="AX1318" s="186"/>
      <c r="AY1318" s="186"/>
      <c r="AZ1318" s="186"/>
      <c r="BA1318" s="186"/>
      <c r="BB1318" s="186"/>
      <c r="BC1318" s="186"/>
      <c r="BD1318" s="186"/>
      <c r="BE1318" s="186"/>
      <c r="BF1318" s="150"/>
      <c r="BG1318" s="150"/>
    </row>
    <row r="1319" spans="3:59" ht="14.6">
      <c r="C1319" s="289"/>
      <c r="D1319" s="150"/>
      <c r="E1319" s="150"/>
      <c r="F1319" s="150"/>
      <c r="G1319" s="150"/>
      <c r="H1319" s="150"/>
      <c r="I1319" s="150"/>
      <c r="J1319" s="150"/>
      <c r="K1319" s="150"/>
      <c r="L1319" s="150"/>
      <c r="M1319" s="150"/>
      <c r="N1319" s="150"/>
      <c r="O1319" s="150"/>
      <c r="P1319" s="150"/>
      <c r="Q1319" s="150"/>
      <c r="R1319" s="150"/>
      <c r="S1319" s="150"/>
      <c r="T1319" s="186"/>
      <c r="U1319" s="186"/>
      <c r="V1319" s="186"/>
      <c r="W1319" s="186"/>
      <c r="X1319" s="186"/>
      <c r="Y1319" s="186"/>
      <c r="Z1319" s="186"/>
      <c r="AA1319" s="186"/>
      <c r="AB1319" s="186"/>
      <c r="AC1319" s="186"/>
      <c r="AD1319" s="186"/>
      <c r="AF1319" s="150"/>
      <c r="AG1319" s="150"/>
      <c r="AH1319" s="150"/>
      <c r="AI1319" s="150"/>
      <c r="AJ1319" s="150"/>
      <c r="AK1319" s="150"/>
      <c r="AL1319" s="150"/>
      <c r="AM1319" s="150"/>
      <c r="AN1319" s="150"/>
      <c r="AO1319" s="150"/>
      <c r="AP1319" s="150"/>
      <c r="AQ1319" s="150"/>
      <c r="AT1319" s="186"/>
      <c r="AU1319" s="186"/>
      <c r="AV1319" s="186"/>
      <c r="AW1319" s="186"/>
      <c r="AX1319" s="186"/>
      <c r="AY1319" s="186"/>
      <c r="AZ1319" s="186"/>
      <c r="BA1319" s="186"/>
      <c r="BB1319" s="186"/>
      <c r="BC1319" s="186"/>
      <c r="BD1319" s="186"/>
      <c r="BE1319" s="186"/>
      <c r="BF1319" s="150"/>
      <c r="BG1319" s="150"/>
    </row>
    <row r="1320" spans="3:59" ht="14.6">
      <c r="C1320" s="289"/>
      <c r="D1320" s="150"/>
      <c r="E1320" s="150"/>
      <c r="F1320" s="150"/>
      <c r="G1320" s="150"/>
      <c r="H1320" s="150"/>
      <c r="I1320" s="150"/>
      <c r="J1320" s="150"/>
      <c r="K1320" s="150"/>
      <c r="L1320" s="150"/>
      <c r="M1320" s="150"/>
      <c r="N1320" s="150"/>
      <c r="O1320" s="150"/>
      <c r="P1320" s="150"/>
      <c r="Q1320" s="150"/>
      <c r="R1320" s="150"/>
      <c r="S1320" s="150"/>
      <c r="T1320" s="186"/>
      <c r="U1320" s="186"/>
      <c r="V1320" s="186"/>
      <c r="W1320" s="186"/>
      <c r="X1320" s="186"/>
      <c r="Y1320" s="186"/>
      <c r="Z1320" s="186"/>
      <c r="AA1320" s="186"/>
      <c r="AB1320" s="186"/>
      <c r="AC1320" s="186"/>
      <c r="AD1320" s="186"/>
      <c r="AF1320" s="150"/>
      <c r="AG1320" s="150"/>
      <c r="AH1320" s="150"/>
      <c r="AI1320" s="150"/>
      <c r="AJ1320" s="150"/>
      <c r="AK1320" s="150"/>
      <c r="AL1320" s="150"/>
      <c r="AM1320" s="150"/>
      <c r="AN1320" s="150"/>
      <c r="AO1320" s="150"/>
      <c r="AP1320" s="150"/>
      <c r="AQ1320" s="150"/>
      <c r="AT1320" s="186"/>
      <c r="AU1320" s="186"/>
      <c r="AV1320" s="186"/>
      <c r="AW1320" s="186"/>
      <c r="AX1320" s="186"/>
      <c r="AY1320" s="186"/>
      <c r="AZ1320" s="186"/>
      <c r="BA1320" s="186"/>
      <c r="BB1320" s="186"/>
      <c r="BC1320" s="186"/>
      <c r="BD1320" s="186"/>
      <c r="BE1320" s="186"/>
      <c r="BF1320" s="150"/>
      <c r="BG1320" s="150"/>
    </row>
    <row r="1321" spans="3:59" ht="14.6">
      <c r="C1321" s="289"/>
      <c r="D1321" s="150"/>
      <c r="E1321" s="150"/>
      <c r="F1321" s="150"/>
      <c r="G1321" s="150"/>
      <c r="H1321" s="150"/>
      <c r="I1321" s="150"/>
      <c r="J1321" s="150"/>
      <c r="K1321" s="150"/>
      <c r="L1321" s="150"/>
      <c r="M1321" s="150"/>
      <c r="N1321" s="150"/>
      <c r="O1321" s="150"/>
      <c r="P1321" s="150"/>
      <c r="Q1321" s="150"/>
      <c r="R1321" s="150"/>
      <c r="S1321" s="150"/>
      <c r="T1321" s="186"/>
      <c r="U1321" s="186"/>
      <c r="V1321" s="186"/>
      <c r="W1321" s="186"/>
      <c r="X1321" s="186"/>
      <c r="Y1321" s="186"/>
      <c r="Z1321" s="186"/>
      <c r="AA1321" s="186"/>
      <c r="AB1321" s="186"/>
      <c r="AC1321" s="186"/>
      <c r="AD1321" s="186"/>
      <c r="AF1321" s="150"/>
      <c r="AG1321" s="150"/>
      <c r="AH1321" s="150"/>
      <c r="AI1321" s="150"/>
      <c r="AJ1321" s="150"/>
      <c r="AK1321" s="150"/>
      <c r="AL1321" s="150"/>
      <c r="AM1321" s="150"/>
      <c r="AN1321" s="150"/>
      <c r="AO1321" s="150"/>
      <c r="AP1321" s="150"/>
      <c r="AQ1321" s="150"/>
      <c r="AT1321" s="186"/>
      <c r="AU1321" s="186"/>
      <c r="AV1321" s="186"/>
      <c r="AW1321" s="186"/>
      <c r="AX1321" s="186"/>
      <c r="AY1321" s="186"/>
      <c r="AZ1321" s="186"/>
      <c r="BA1321" s="186"/>
      <c r="BB1321" s="186"/>
      <c r="BC1321" s="186"/>
      <c r="BD1321" s="186"/>
      <c r="BE1321" s="186"/>
      <c r="BF1321" s="150"/>
      <c r="BG1321" s="150"/>
    </row>
    <row r="1322" spans="3:59" ht="14.6">
      <c r="C1322" s="289"/>
      <c r="D1322" s="150"/>
      <c r="E1322" s="150"/>
      <c r="F1322" s="150"/>
      <c r="G1322" s="150"/>
      <c r="H1322" s="150"/>
      <c r="I1322" s="150"/>
      <c r="J1322" s="150"/>
      <c r="K1322" s="150"/>
      <c r="L1322" s="150"/>
      <c r="M1322" s="150"/>
      <c r="N1322" s="150"/>
      <c r="O1322" s="150"/>
      <c r="P1322" s="150"/>
      <c r="Q1322" s="150"/>
      <c r="R1322" s="150"/>
      <c r="S1322" s="150"/>
      <c r="T1322" s="186"/>
      <c r="U1322" s="186"/>
      <c r="V1322" s="186"/>
      <c r="W1322" s="186"/>
      <c r="X1322" s="186"/>
      <c r="Y1322" s="186"/>
      <c r="Z1322" s="186"/>
      <c r="AA1322" s="186"/>
      <c r="AB1322" s="186"/>
      <c r="AC1322" s="186"/>
      <c r="AD1322" s="186"/>
      <c r="AF1322" s="150"/>
      <c r="AG1322" s="150"/>
      <c r="AH1322" s="150"/>
      <c r="AI1322" s="150"/>
      <c r="AJ1322" s="150"/>
      <c r="AK1322" s="150"/>
      <c r="AL1322" s="150"/>
      <c r="AM1322" s="150"/>
      <c r="AN1322" s="150"/>
      <c r="AO1322" s="150"/>
      <c r="AP1322" s="150"/>
      <c r="AQ1322" s="150"/>
      <c r="AT1322" s="186"/>
      <c r="AU1322" s="186"/>
      <c r="AV1322" s="186"/>
      <c r="AW1322" s="186"/>
      <c r="AX1322" s="186"/>
      <c r="AY1322" s="186"/>
      <c r="AZ1322" s="186"/>
      <c r="BA1322" s="186"/>
      <c r="BB1322" s="186"/>
      <c r="BC1322" s="186"/>
      <c r="BD1322" s="186"/>
      <c r="BE1322" s="186"/>
      <c r="BF1322" s="150"/>
      <c r="BG1322" s="150"/>
    </row>
    <row r="1323" spans="3:59" ht="14.6">
      <c r="C1323" s="289"/>
      <c r="D1323" s="150"/>
      <c r="E1323" s="150"/>
      <c r="F1323" s="150"/>
      <c r="G1323" s="150"/>
      <c r="H1323" s="150"/>
      <c r="I1323" s="150"/>
      <c r="J1323" s="150"/>
      <c r="K1323" s="150"/>
      <c r="L1323" s="150"/>
      <c r="M1323" s="150"/>
      <c r="N1323" s="150"/>
      <c r="O1323" s="150"/>
      <c r="P1323" s="150"/>
      <c r="Q1323" s="150"/>
      <c r="R1323" s="150"/>
      <c r="S1323" s="150"/>
      <c r="T1323" s="186"/>
      <c r="U1323" s="186"/>
      <c r="V1323" s="186"/>
      <c r="W1323" s="186"/>
      <c r="X1323" s="186"/>
      <c r="Y1323" s="186"/>
      <c r="Z1323" s="186"/>
      <c r="AA1323" s="186"/>
      <c r="AB1323" s="186"/>
      <c r="AC1323" s="186"/>
      <c r="AD1323" s="186"/>
      <c r="AF1323" s="150"/>
      <c r="AG1323" s="150"/>
      <c r="AH1323" s="150"/>
      <c r="AI1323" s="150"/>
      <c r="AJ1323" s="150"/>
      <c r="AK1323" s="150"/>
      <c r="AL1323" s="150"/>
      <c r="AM1323" s="150"/>
      <c r="AN1323" s="150"/>
      <c r="AO1323" s="150"/>
      <c r="AP1323" s="150"/>
      <c r="AQ1323" s="150"/>
      <c r="AT1323" s="186"/>
      <c r="AU1323" s="186"/>
      <c r="AV1323" s="186"/>
      <c r="AW1323" s="186"/>
      <c r="AX1323" s="186"/>
      <c r="AY1323" s="186"/>
      <c r="AZ1323" s="186"/>
      <c r="BA1323" s="186"/>
      <c r="BB1323" s="186"/>
      <c r="BC1323" s="186"/>
      <c r="BD1323" s="186"/>
      <c r="BE1323" s="186"/>
      <c r="BF1323" s="150"/>
      <c r="BG1323" s="150"/>
    </row>
    <row r="1324" spans="3:59" ht="14.6">
      <c r="C1324" s="289"/>
      <c r="D1324" s="150"/>
      <c r="E1324" s="150"/>
      <c r="F1324" s="150"/>
      <c r="G1324" s="150"/>
      <c r="H1324" s="150"/>
      <c r="I1324" s="150"/>
      <c r="J1324" s="150"/>
      <c r="K1324" s="150"/>
      <c r="L1324" s="150"/>
      <c r="M1324" s="150"/>
      <c r="N1324" s="150"/>
      <c r="O1324" s="150"/>
      <c r="P1324" s="150"/>
      <c r="Q1324" s="150"/>
      <c r="R1324" s="150"/>
      <c r="S1324" s="150"/>
      <c r="T1324" s="186"/>
      <c r="U1324" s="186"/>
      <c r="V1324" s="186"/>
      <c r="W1324" s="186"/>
      <c r="X1324" s="186"/>
      <c r="Y1324" s="186"/>
      <c r="Z1324" s="186"/>
      <c r="AA1324" s="186"/>
      <c r="AB1324" s="186"/>
      <c r="AC1324" s="186"/>
      <c r="AD1324" s="186"/>
      <c r="AF1324" s="150"/>
      <c r="AG1324" s="150"/>
      <c r="AH1324" s="150"/>
      <c r="AI1324" s="150"/>
      <c r="AJ1324" s="150"/>
      <c r="AK1324" s="150"/>
      <c r="AL1324" s="150"/>
      <c r="AM1324" s="150"/>
      <c r="AN1324" s="150"/>
      <c r="AO1324" s="150"/>
      <c r="AP1324" s="150"/>
      <c r="AQ1324" s="150"/>
      <c r="AT1324" s="186"/>
      <c r="AU1324" s="186"/>
      <c r="AV1324" s="186"/>
      <c r="AW1324" s="186"/>
      <c r="AX1324" s="186"/>
      <c r="AY1324" s="186"/>
      <c r="AZ1324" s="186"/>
      <c r="BA1324" s="186"/>
      <c r="BB1324" s="186"/>
      <c r="BC1324" s="186"/>
      <c r="BD1324" s="186"/>
      <c r="BE1324" s="186"/>
      <c r="BF1324" s="150"/>
      <c r="BG1324" s="150"/>
    </row>
    <row r="1325" spans="3:59" ht="14.6">
      <c r="C1325" s="289"/>
      <c r="D1325" s="150"/>
      <c r="E1325" s="150"/>
      <c r="F1325" s="150"/>
      <c r="G1325" s="150"/>
      <c r="H1325" s="150"/>
      <c r="I1325" s="150"/>
      <c r="J1325" s="150"/>
      <c r="K1325" s="150"/>
      <c r="L1325" s="150"/>
      <c r="M1325" s="150"/>
      <c r="N1325" s="150"/>
      <c r="O1325" s="150"/>
      <c r="P1325" s="150"/>
      <c r="Q1325" s="150"/>
      <c r="R1325" s="150"/>
      <c r="S1325" s="150"/>
      <c r="T1325" s="186"/>
      <c r="U1325" s="186"/>
      <c r="V1325" s="186"/>
      <c r="W1325" s="186"/>
      <c r="X1325" s="186"/>
      <c r="Y1325" s="186"/>
      <c r="Z1325" s="186"/>
      <c r="AA1325" s="186"/>
      <c r="AB1325" s="186"/>
      <c r="AC1325" s="186"/>
      <c r="AD1325" s="186"/>
      <c r="AF1325" s="150"/>
      <c r="AG1325" s="150"/>
      <c r="AH1325" s="150"/>
      <c r="AI1325" s="150"/>
      <c r="AJ1325" s="150"/>
      <c r="AK1325" s="150"/>
      <c r="AL1325" s="150"/>
      <c r="AM1325" s="150"/>
      <c r="AN1325" s="150"/>
      <c r="AO1325" s="150"/>
      <c r="AP1325" s="150"/>
      <c r="AQ1325" s="150"/>
      <c r="AT1325" s="186"/>
      <c r="AU1325" s="186"/>
      <c r="AV1325" s="186"/>
      <c r="AW1325" s="186"/>
      <c r="AX1325" s="186"/>
      <c r="AY1325" s="186"/>
      <c r="AZ1325" s="186"/>
      <c r="BA1325" s="186"/>
      <c r="BB1325" s="186"/>
      <c r="BC1325" s="186"/>
      <c r="BD1325" s="186"/>
      <c r="BE1325" s="186"/>
      <c r="BF1325" s="150"/>
      <c r="BG1325" s="150"/>
    </row>
    <row r="1326" spans="3:59" ht="14.6">
      <c r="C1326" s="289"/>
      <c r="D1326" s="150"/>
      <c r="E1326" s="150"/>
      <c r="F1326" s="150"/>
      <c r="G1326" s="150"/>
      <c r="H1326" s="150"/>
      <c r="I1326" s="150"/>
      <c r="J1326" s="150"/>
      <c r="K1326" s="150"/>
      <c r="L1326" s="150"/>
      <c r="M1326" s="150"/>
      <c r="N1326" s="150"/>
      <c r="O1326" s="150"/>
      <c r="P1326" s="150"/>
      <c r="Q1326" s="150"/>
      <c r="R1326" s="150"/>
      <c r="S1326" s="150"/>
      <c r="T1326" s="186"/>
      <c r="U1326" s="186"/>
      <c r="V1326" s="186"/>
      <c r="W1326" s="186"/>
      <c r="X1326" s="186"/>
      <c r="Y1326" s="186"/>
      <c r="Z1326" s="186"/>
      <c r="AA1326" s="186"/>
      <c r="AB1326" s="186"/>
      <c r="AC1326" s="186"/>
      <c r="AD1326" s="186"/>
      <c r="AF1326" s="150"/>
      <c r="AG1326" s="150"/>
      <c r="AH1326" s="150"/>
      <c r="AI1326" s="150"/>
      <c r="AJ1326" s="150"/>
      <c r="AK1326" s="150"/>
      <c r="AL1326" s="150"/>
      <c r="AM1326" s="150"/>
      <c r="AN1326" s="150"/>
      <c r="AO1326" s="150"/>
      <c r="AP1326" s="150"/>
      <c r="AQ1326" s="150"/>
      <c r="AT1326" s="186"/>
      <c r="AU1326" s="186"/>
      <c r="AV1326" s="186"/>
      <c r="AW1326" s="186"/>
      <c r="AX1326" s="186"/>
      <c r="AY1326" s="186"/>
      <c r="AZ1326" s="186"/>
      <c r="BA1326" s="186"/>
      <c r="BB1326" s="186"/>
      <c r="BC1326" s="186"/>
      <c r="BD1326" s="186"/>
      <c r="BE1326" s="186"/>
      <c r="BF1326" s="150"/>
      <c r="BG1326" s="150"/>
    </row>
    <row r="1327" spans="3:59" ht="14.6">
      <c r="C1327" s="289"/>
      <c r="D1327" s="150"/>
      <c r="E1327" s="150"/>
      <c r="F1327" s="150"/>
      <c r="G1327" s="150"/>
      <c r="H1327" s="150"/>
      <c r="I1327" s="150"/>
      <c r="J1327" s="150"/>
      <c r="K1327" s="150"/>
      <c r="L1327" s="150"/>
      <c r="M1327" s="150"/>
      <c r="N1327" s="150"/>
      <c r="O1327" s="150"/>
      <c r="P1327" s="150"/>
      <c r="Q1327" s="150"/>
      <c r="R1327" s="150"/>
      <c r="S1327" s="150"/>
      <c r="T1327" s="186"/>
      <c r="U1327" s="186"/>
      <c r="V1327" s="186"/>
      <c r="W1327" s="186"/>
      <c r="X1327" s="186"/>
      <c r="Y1327" s="186"/>
      <c r="Z1327" s="186"/>
      <c r="AA1327" s="186"/>
      <c r="AB1327" s="186"/>
      <c r="AC1327" s="186"/>
      <c r="AD1327" s="186"/>
      <c r="AF1327" s="150"/>
      <c r="AG1327" s="150"/>
      <c r="AH1327" s="150"/>
      <c r="AI1327" s="150"/>
      <c r="AJ1327" s="150"/>
      <c r="AK1327" s="150"/>
      <c r="AL1327" s="150"/>
      <c r="AM1327" s="150"/>
      <c r="AN1327" s="150"/>
      <c r="AO1327" s="150"/>
      <c r="AP1327" s="150"/>
      <c r="AQ1327" s="150"/>
      <c r="AT1327" s="186"/>
      <c r="AU1327" s="186"/>
      <c r="AV1327" s="186"/>
      <c r="AW1327" s="186"/>
      <c r="AX1327" s="186"/>
      <c r="AY1327" s="186"/>
      <c r="AZ1327" s="186"/>
      <c r="BA1327" s="186"/>
      <c r="BB1327" s="186"/>
      <c r="BC1327" s="186"/>
      <c r="BD1327" s="186"/>
      <c r="BE1327" s="186"/>
      <c r="BF1327" s="150"/>
      <c r="BG1327" s="150"/>
    </row>
    <row r="1328" spans="3:59" ht="14.6">
      <c r="C1328" s="289"/>
      <c r="D1328" s="150"/>
      <c r="E1328" s="150"/>
      <c r="F1328" s="150"/>
      <c r="G1328" s="150"/>
      <c r="H1328" s="150"/>
      <c r="I1328" s="150"/>
      <c r="J1328" s="150"/>
      <c r="K1328" s="150"/>
      <c r="L1328" s="150"/>
      <c r="M1328" s="150"/>
      <c r="N1328" s="150"/>
      <c r="O1328" s="150"/>
      <c r="P1328" s="150"/>
      <c r="Q1328" s="150"/>
      <c r="R1328" s="150"/>
      <c r="S1328" s="150"/>
      <c r="T1328" s="186"/>
      <c r="U1328" s="186"/>
      <c r="V1328" s="186"/>
      <c r="W1328" s="186"/>
      <c r="X1328" s="186"/>
      <c r="Y1328" s="186"/>
      <c r="Z1328" s="186"/>
      <c r="AA1328" s="186"/>
      <c r="AB1328" s="186"/>
      <c r="AC1328" s="186"/>
      <c r="AD1328" s="186"/>
      <c r="AF1328" s="150"/>
      <c r="AG1328" s="150"/>
      <c r="AH1328" s="150"/>
      <c r="AI1328" s="150"/>
      <c r="AJ1328" s="150"/>
      <c r="AK1328" s="150"/>
      <c r="AL1328" s="150"/>
      <c r="AM1328" s="150"/>
      <c r="AN1328" s="150"/>
      <c r="AO1328" s="150"/>
      <c r="AP1328" s="150"/>
      <c r="AQ1328" s="150"/>
      <c r="AT1328" s="186"/>
      <c r="AU1328" s="186"/>
      <c r="AV1328" s="186"/>
      <c r="AW1328" s="186"/>
      <c r="AX1328" s="186"/>
      <c r="AY1328" s="186"/>
      <c r="AZ1328" s="186"/>
      <c r="BA1328" s="186"/>
      <c r="BB1328" s="186"/>
      <c r="BC1328" s="186"/>
      <c r="BD1328" s="186"/>
      <c r="BE1328" s="186"/>
      <c r="BF1328" s="150"/>
      <c r="BG1328" s="150"/>
    </row>
    <row r="1329" spans="3:59" ht="14.6">
      <c r="C1329" s="289"/>
      <c r="D1329" s="150"/>
      <c r="E1329" s="150"/>
      <c r="F1329" s="150"/>
      <c r="G1329" s="150"/>
      <c r="H1329" s="150"/>
      <c r="I1329" s="150"/>
      <c r="J1329" s="150"/>
      <c r="K1329" s="150"/>
      <c r="L1329" s="150"/>
      <c r="M1329" s="150"/>
      <c r="N1329" s="150"/>
      <c r="O1329" s="150"/>
      <c r="P1329" s="150"/>
      <c r="Q1329" s="150"/>
      <c r="R1329" s="150"/>
      <c r="S1329" s="150"/>
      <c r="T1329" s="186"/>
      <c r="U1329" s="186"/>
      <c r="V1329" s="186"/>
      <c r="W1329" s="186"/>
      <c r="X1329" s="186"/>
      <c r="Y1329" s="186"/>
      <c r="Z1329" s="186"/>
      <c r="AA1329" s="186"/>
      <c r="AB1329" s="186"/>
      <c r="AC1329" s="186"/>
      <c r="AD1329" s="186"/>
      <c r="AF1329" s="150"/>
      <c r="AG1329" s="150"/>
      <c r="AH1329" s="150"/>
      <c r="AI1329" s="150"/>
      <c r="AJ1329" s="150"/>
      <c r="AK1329" s="150"/>
      <c r="AL1329" s="150"/>
      <c r="AM1329" s="150"/>
      <c r="AN1329" s="150"/>
      <c r="AO1329" s="150"/>
      <c r="AP1329" s="150"/>
      <c r="AQ1329" s="150"/>
      <c r="AT1329" s="186"/>
      <c r="AU1329" s="186"/>
      <c r="AV1329" s="186"/>
      <c r="AW1329" s="186"/>
      <c r="AX1329" s="186"/>
      <c r="AY1329" s="186"/>
      <c r="AZ1329" s="186"/>
      <c r="BA1329" s="186"/>
      <c r="BB1329" s="186"/>
      <c r="BC1329" s="186"/>
      <c r="BD1329" s="186"/>
      <c r="BE1329" s="186"/>
      <c r="BF1329" s="150"/>
      <c r="BG1329" s="150"/>
    </row>
    <row r="1330" spans="3:59" ht="14.6">
      <c r="C1330" s="289"/>
      <c r="D1330" s="150"/>
      <c r="E1330" s="150"/>
      <c r="F1330" s="150"/>
      <c r="G1330" s="150"/>
      <c r="H1330" s="150"/>
      <c r="I1330" s="150"/>
      <c r="J1330" s="150"/>
      <c r="K1330" s="150"/>
      <c r="L1330" s="150"/>
      <c r="M1330" s="150"/>
      <c r="N1330" s="150"/>
      <c r="O1330" s="150"/>
      <c r="P1330" s="150"/>
      <c r="Q1330" s="150"/>
      <c r="R1330" s="150"/>
      <c r="S1330" s="150"/>
      <c r="T1330" s="186"/>
      <c r="U1330" s="186"/>
      <c r="V1330" s="186"/>
      <c r="W1330" s="186"/>
      <c r="X1330" s="186"/>
      <c r="Y1330" s="186"/>
      <c r="Z1330" s="186"/>
      <c r="AA1330" s="186"/>
      <c r="AB1330" s="186"/>
      <c r="AC1330" s="186"/>
      <c r="AD1330" s="186"/>
      <c r="AF1330" s="150"/>
      <c r="AG1330" s="150"/>
      <c r="AH1330" s="150"/>
      <c r="AI1330" s="150"/>
      <c r="AJ1330" s="150"/>
      <c r="AK1330" s="150"/>
      <c r="AL1330" s="150"/>
      <c r="AM1330" s="150"/>
      <c r="AN1330" s="150"/>
      <c r="AO1330" s="150"/>
      <c r="AP1330" s="150"/>
      <c r="AQ1330" s="150"/>
      <c r="AT1330" s="186"/>
      <c r="AU1330" s="186"/>
      <c r="AV1330" s="186"/>
      <c r="AW1330" s="186"/>
      <c r="AX1330" s="186"/>
      <c r="AY1330" s="186"/>
      <c r="AZ1330" s="186"/>
      <c r="BA1330" s="186"/>
      <c r="BB1330" s="186"/>
      <c r="BC1330" s="186"/>
      <c r="BD1330" s="186"/>
      <c r="BE1330" s="186"/>
      <c r="BF1330" s="150"/>
      <c r="BG1330" s="150"/>
    </row>
    <row r="1331" spans="3:59" ht="14.6">
      <c r="C1331" s="289"/>
      <c r="D1331" s="150"/>
      <c r="E1331" s="150"/>
      <c r="F1331" s="150"/>
      <c r="G1331" s="150"/>
      <c r="H1331" s="150"/>
      <c r="I1331" s="150"/>
      <c r="J1331" s="150"/>
      <c r="K1331" s="150"/>
      <c r="L1331" s="150"/>
      <c r="M1331" s="150"/>
      <c r="N1331" s="150"/>
      <c r="O1331" s="150"/>
      <c r="P1331" s="150"/>
      <c r="Q1331" s="150"/>
      <c r="R1331" s="150"/>
      <c r="S1331" s="150"/>
      <c r="T1331" s="186"/>
      <c r="U1331" s="186"/>
      <c r="V1331" s="186"/>
      <c r="W1331" s="186"/>
      <c r="X1331" s="186"/>
      <c r="Y1331" s="186"/>
      <c r="Z1331" s="186"/>
      <c r="AA1331" s="186"/>
      <c r="AB1331" s="186"/>
      <c r="AC1331" s="186"/>
      <c r="AD1331" s="186"/>
      <c r="AF1331" s="150"/>
      <c r="AG1331" s="150"/>
      <c r="AH1331" s="150"/>
      <c r="AI1331" s="150"/>
      <c r="AJ1331" s="150"/>
      <c r="AK1331" s="150"/>
      <c r="AL1331" s="150"/>
      <c r="AM1331" s="150"/>
      <c r="AN1331" s="150"/>
      <c r="AO1331" s="150"/>
      <c r="AP1331" s="150"/>
      <c r="AQ1331" s="150"/>
      <c r="AT1331" s="186"/>
      <c r="AU1331" s="186"/>
      <c r="AV1331" s="186"/>
      <c r="AW1331" s="186"/>
      <c r="AX1331" s="186"/>
      <c r="AY1331" s="186"/>
      <c r="AZ1331" s="186"/>
      <c r="BA1331" s="186"/>
      <c r="BB1331" s="186"/>
      <c r="BC1331" s="186"/>
      <c r="BD1331" s="186"/>
      <c r="BE1331" s="186"/>
      <c r="BF1331" s="150"/>
      <c r="BG1331" s="150"/>
    </row>
    <row r="1332" spans="3:59" ht="14.6">
      <c r="C1332" s="289"/>
      <c r="D1332" s="150"/>
      <c r="E1332" s="150"/>
      <c r="F1332" s="150"/>
      <c r="G1332" s="150"/>
      <c r="H1332" s="150"/>
      <c r="I1332" s="150"/>
      <c r="J1332" s="150"/>
      <c r="K1332" s="150"/>
      <c r="L1332" s="150"/>
      <c r="M1332" s="150"/>
      <c r="N1332" s="150"/>
      <c r="O1332" s="150"/>
      <c r="P1332" s="150"/>
      <c r="Q1332" s="150"/>
      <c r="R1332" s="150"/>
      <c r="S1332" s="150"/>
      <c r="T1332" s="186"/>
      <c r="U1332" s="186"/>
      <c r="V1332" s="186"/>
      <c r="W1332" s="186"/>
      <c r="X1332" s="186"/>
      <c r="Y1332" s="186"/>
      <c r="Z1332" s="186"/>
      <c r="AA1332" s="186"/>
      <c r="AB1332" s="186"/>
      <c r="AC1332" s="186"/>
      <c r="AD1332" s="186"/>
      <c r="AF1332" s="150"/>
      <c r="AG1332" s="150"/>
      <c r="AH1332" s="150"/>
      <c r="AI1332" s="150"/>
      <c r="AJ1332" s="150"/>
      <c r="AK1332" s="150"/>
      <c r="AL1332" s="150"/>
      <c r="AM1332" s="150"/>
      <c r="AN1332" s="150"/>
      <c r="AO1332" s="150"/>
      <c r="AP1332" s="150"/>
      <c r="AQ1332" s="150"/>
      <c r="AT1332" s="186"/>
      <c r="AU1332" s="186"/>
      <c r="AV1332" s="186"/>
      <c r="AW1332" s="186"/>
      <c r="AX1332" s="186"/>
      <c r="AY1332" s="186"/>
      <c r="AZ1332" s="186"/>
      <c r="BA1332" s="186"/>
      <c r="BB1332" s="186"/>
      <c r="BC1332" s="186"/>
      <c r="BD1332" s="186"/>
      <c r="BE1332" s="186"/>
      <c r="BF1332" s="150"/>
      <c r="BG1332" s="150"/>
    </row>
    <row r="1333" spans="3:59" ht="14.6">
      <c r="C1333" s="289"/>
      <c r="D1333" s="150"/>
      <c r="E1333" s="150"/>
      <c r="F1333" s="150"/>
      <c r="G1333" s="150"/>
      <c r="H1333" s="150"/>
      <c r="I1333" s="150"/>
      <c r="J1333" s="150"/>
      <c r="K1333" s="150"/>
      <c r="L1333" s="150"/>
      <c r="M1333" s="150"/>
      <c r="N1333" s="150"/>
      <c r="O1333" s="150"/>
      <c r="P1333" s="150"/>
      <c r="Q1333" s="150"/>
      <c r="R1333" s="150"/>
      <c r="S1333" s="150"/>
      <c r="T1333" s="186"/>
      <c r="U1333" s="186"/>
      <c r="V1333" s="186"/>
      <c r="W1333" s="186"/>
      <c r="X1333" s="186"/>
      <c r="Y1333" s="186"/>
      <c r="Z1333" s="186"/>
      <c r="AA1333" s="186"/>
      <c r="AB1333" s="186"/>
      <c r="AC1333" s="186"/>
      <c r="AD1333" s="186"/>
      <c r="AF1333" s="150"/>
      <c r="AG1333" s="150"/>
      <c r="AH1333" s="150"/>
      <c r="AI1333" s="150"/>
      <c r="AJ1333" s="150"/>
      <c r="AK1333" s="150"/>
      <c r="AL1333" s="150"/>
      <c r="AM1333" s="150"/>
      <c r="AN1333" s="150"/>
      <c r="AO1333" s="150"/>
      <c r="AP1333" s="150"/>
      <c r="AQ1333" s="150"/>
      <c r="AT1333" s="186"/>
      <c r="AU1333" s="186"/>
      <c r="AV1333" s="186"/>
      <c r="AW1333" s="186"/>
      <c r="AX1333" s="186"/>
      <c r="AY1333" s="186"/>
      <c r="AZ1333" s="186"/>
      <c r="BA1333" s="186"/>
      <c r="BB1333" s="186"/>
      <c r="BC1333" s="186"/>
      <c r="BD1333" s="186"/>
      <c r="BE1333" s="186"/>
      <c r="BF1333" s="150"/>
      <c r="BG1333" s="150"/>
    </row>
    <row r="1334" spans="3:59" ht="14.6">
      <c r="C1334" s="289"/>
      <c r="D1334" s="150"/>
      <c r="E1334" s="150"/>
      <c r="F1334" s="150"/>
      <c r="G1334" s="150"/>
      <c r="H1334" s="150"/>
      <c r="I1334" s="150"/>
      <c r="J1334" s="150"/>
      <c r="K1334" s="150"/>
      <c r="L1334" s="150"/>
      <c r="M1334" s="150"/>
      <c r="N1334" s="150"/>
      <c r="O1334" s="150"/>
      <c r="P1334" s="150"/>
      <c r="Q1334" s="150"/>
      <c r="R1334" s="150"/>
      <c r="S1334" s="150"/>
      <c r="T1334" s="186"/>
      <c r="U1334" s="186"/>
      <c r="V1334" s="186"/>
      <c r="W1334" s="186"/>
      <c r="X1334" s="186"/>
      <c r="Y1334" s="186"/>
      <c r="Z1334" s="186"/>
      <c r="AA1334" s="186"/>
      <c r="AB1334" s="186"/>
      <c r="AC1334" s="186"/>
      <c r="AD1334" s="186"/>
      <c r="AF1334" s="150"/>
      <c r="AG1334" s="150"/>
      <c r="AH1334" s="150"/>
      <c r="AI1334" s="150"/>
      <c r="AJ1334" s="150"/>
      <c r="AK1334" s="150"/>
      <c r="AL1334" s="150"/>
      <c r="AM1334" s="150"/>
      <c r="AN1334" s="150"/>
      <c r="AO1334" s="150"/>
      <c r="AP1334" s="150"/>
      <c r="AQ1334" s="150"/>
      <c r="AT1334" s="186"/>
      <c r="AU1334" s="186"/>
      <c r="AV1334" s="186"/>
      <c r="AW1334" s="186"/>
      <c r="AX1334" s="186"/>
      <c r="AY1334" s="186"/>
      <c r="AZ1334" s="186"/>
      <c r="BA1334" s="186"/>
      <c r="BB1334" s="186"/>
      <c r="BC1334" s="186"/>
      <c r="BD1334" s="186"/>
      <c r="BE1334" s="186"/>
      <c r="BF1334" s="150"/>
      <c r="BG1334" s="150"/>
    </row>
    <row r="1335" spans="3:59" ht="14.6">
      <c r="C1335" s="289"/>
      <c r="D1335" s="150"/>
      <c r="E1335" s="150"/>
      <c r="F1335" s="150"/>
      <c r="G1335" s="150"/>
      <c r="H1335" s="150"/>
      <c r="I1335" s="150"/>
      <c r="J1335" s="150"/>
      <c r="K1335" s="150"/>
      <c r="L1335" s="150"/>
      <c r="M1335" s="150"/>
      <c r="N1335" s="150"/>
      <c r="O1335" s="150"/>
      <c r="P1335" s="150"/>
      <c r="Q1335" s="150"/>
      <c r="R1335" s="150"/>
      <c r="S1335" s="150"/>
      <c r="T1335" s="186"/>
      <c r="U1335" s="186"/>
      <c r="V1335" s="186"/>
      <c r="W1335" s="186"/>
      <c r="X1335" s="186"/>
      <c r="Y1335" s="186"/>
      <c r="Z1335" s="186"/>
      <c r="AA1335" s="186"/>
      <c r="AB1335" s="186"/>
      <c r="AC1335" s="186"/>
      <c r="AD1335" s="186"/>
      <c r="AF1335" s="150"/>
      <c r="AG1335" s="150"/>
      <c r="AH1335" s="150"/>
      <c r="AI1335" s="150"/>
      <c r="AJ1335" s="150"/>
      <c r="AK1335" s="150"/>
      <c r="AL1335" s="150"/>
      <c r="AM1335" s="150"/>
      <c r="AN1335" s="150"/>
      <c r="AO1335" s="150"/>
      <c r="AP1335" s="150"/>
      <c r="AQ1335" s="150"/>
      <c r="AT1335" s="186"/>
      <c r="AU1335" s="186"/>
      <c r="AV1335" s="186"/>
      <c r="AW1335" s="186"/>
      <c r="AX1335" s="186"/>
      <c r="AY1335" s="186"/>
      <c r="AZ1335" s="186"/>
      <c r="BA1335" s="186"/>
      <c r="BB1335" s="186"/>
      <c r="BC1335" s="186"/>
      <c r="BD1335" s="186"/>
      <c r="BE1335" s="186"/>
      <c r="BF1335" s="150"/>
      <c r="BG1335" s="150"/>
    </row>
    <row r="1336" spans="3:59" ht="14.6">
      <c r="C1336" s="289"/>
      <c r="D1336" s="150"/>
      <c r="E1336" s="150"/>
      <c r="F1336" s="150"/>
      <c r="G1336" s="150"/>
      <c r="H1336" s="150"/>
      <c r="I1336" s="150"/>
      <c r="J1336" s="150"/>
      <c r="K1336" s="150"/>
      <c r="L1336" s="150"/>
      <c r="M1336" s="150"/>
      <c r="N1336" s="150"/>
      <c r="O1336" s="150"/>
      <c r="P1336" s="150"/>
      <c r="Q1336" s="150"/>
      <c r="R1336" s="150"/>
      <c r="S1336" s="150"/>
      <c r="T1336" s="186"/>
      <c r="U1336" s="186"/>
      <c r="V1336" s="186"/>
      <c r="W1336" s="186"/>
      <c r="X1336" s="186"/>
      <c r="Y1336" s="186"/>
      <c r="Z1336" s="186"/>
      <c r="AA1336" s="186"/>
      <c r="AB1336" s="186"/>
      <c r="AC1336" s="186"/>
      <c r="AD1336" s="186"/>
      <c r="AF1336" s="150"/>
      <c r="AG1336" s="150"/>
      <c r="AH1336" s="150"/>
      <c r="AI1336" s="150"/>
      <c r="AJ1336" s="150"/>
      <c r="AK1336" s="150"/>
      <c r="AL1336" s="150"/>
      <c r="AM1336" s="150"/>
      <c r="AN1336" s="150"/>
      <c r="AO1336" s="150"/>
      <c r="AP1336" s="150"/>
      <c r="AQ1336" s="150"/>
      <c r="AT1336" s="186"/>
      <c r="AU1336" s="186"/>
      <c r="AV1336" s="186"/>
      <c r="AW1336" s="186"/>
      <c r="AX1336" s="186"/>
      <c r="AY1336" s="186"/>
      <c r="AZ1336" s="186"/>
      <c r="BA1336" s="186"/>
      <c r="BB1336" s="186"/>
      <c r="BC1336" s="186"/>
      <c r="BD1336" s="186"/>
      <c r="BE1336" s="186"/>
      <c r="BF1336" s="150"/>
      <c r="BG1336" s="150"/>
    </row>
    <row r="1337" spans="3:59" ht="14.6">
      <c r="C1337" s="289"/>
      <c r="D1337" s="150"/>
      <c r="E1337" s="150"/>
      <c r="F1337" s="150"/>
      <c r="G1337" s="150"/>
      <c r="H1337" s="150"/>
      <c r="I1337" s="150"/>
      <c r="J1337" s="150"/>
      <c r="K1337" s="150"/>
      <c r="L1337" s="150"/>
      <c r="M1337" s="150"/>
      <c r="N1337" s="150"/>
      <c r="O1337" s="150"/>
      <c r="P1337" s="150"/>
      <c r="Q1337" s="150"/>
      <c r="R1337" s="150"/>
      <c r="S1337" s="150"/>
      <c r="T1337" s="186"/>
      <c r="U1337" s="186"/>
      <c r="V1337" s="186"/>
      <c r="W1337" s="186"/>
      <c r="X1337" s="186"/>
      <c r="Y1337" s="186"/>
      <c r="Z1337" s="186"/>
      <c r="AA1337" s="186"/>
      <c r="AB1337" s="186"/>
      <c r="AC1337" s="186"/>
      <c r="AD1337" s="186"/>
      <c r="AF1337" s="150"/>
      <c r="AG1337" s="150"/>
      <c r="AH1337" s="150"/>
      <c r="AI1337" s="150"/>
      <c r="AJ1337" s="150"/>
      <c r="AK1337" s="150"/>
      <c r="AL1337" s="150"/>
      <c r="AM1337" s="150"/>
      <c r="AN1337" s="150"/>
      <c r="AO1337" s="150"/>
      <c r="AP1337" s="150"/>
      <c r="AQ1337" s="150"/>
      <c r="AT1337" s="186"/>
      <c r="AU1337" s="186"/>
      <c r="AV1337" s="186"/>
      <c r="AW1337" s="186"/>
      <c r="AX1337" s="186"/>
      <c r="AY1337" s="186"/>
      <c r="AZ1337" s="186"/>
      <c r="BA1337" s="186"/>
      <c r="BB1337" s="186"/>
      <c r="BC1337" s="186"/>
      <c r="BD1337" s="186"/>
      <c r="BE1337" s="186"/>
      <c r="BF1337" s="150"/>
      <c r="BG1337" s="150"/>
    </row>
    <row r="1338" spans="3:59" ht="14.6">
      <c r="C1338" s="289"/>
      <c r="D1338" s="150"/>
      <c r="E1338" s="150"/>
      <c r="F1338" s="150"/>
      <c r="G1338" s="150"/>
      <c r="H1338" s="150"/>
      <c r="I1338" s="150"/>
      <c r="J1338" s="150"/>
      <c r="K1338" s="150"/>
      <c r="L1338" s="150"/>
      <c r="M1338" s="150"/>
      <c r="N1338" s="150"/>
      <c r="O1338" s="150"/>
      <c r="P1338" s="150"/>
      <c r="Q1338" s="150"/>
      <c r="R1338" s="150"/>
      <c r="S1338" s="150"/>
      <c r="T1338" s="186"/>
      <c r="U1338" s="186"/>
      <c r="V1338" s="186"/>
      <c r="W1338" s="186"/>
      <c r="X1338" s="186"/>
      <c r="Y1338" s="186"/>
      <c r="Z1338" s="186"/>
      <c r="AA1338" s="186"/>
      <c r="AB1338" s="186"/>
      <c r="AC1338" s="186"/>
      <c r="AD1338" s="186"/>
      <c r="AF1338" s="150"/>
      <c r="AG1338" s="150"/>
      <c r="AH1338" s="150"/>
      <c r="AI1338" s="150"/>
      <c r="AJ1338" s="150"/>
      <c r="AK1338" s="150"/>
      <c r="AL1338" s="150"/>
      <c r="AM1338" s="150"/>
      <c r="AN1338" s="150"/>
      <c r="AO1338" s="150"/>
      <c r="AP1338" s="150"/>
      <c r="AQ1338" s="150"/>
      <c r="AT1338" s="186"/>
      <c r="AU1338" s="186"/>
      <c r="AV1338" s="186"/>
      <c r="AW1338" s="186"/>
      <c r="AX1338" s="186"/>
      <c r="AY1338" s="186"/>
      <c r="AZ1338" s="186"/>
      <c r="BA1338" s="186"/>
      <c r="BB1338" s="186"/>
      <c r="BC1338" s="186"/>
      <c r="BD1338" s="186"/>
      <c r="BE1338" s="186"/>
      <c r="BF1338" s="150"/>
      <c r="BG1338" s="150"/>
    </row>
    <row r="1339" spans="3:59" ht="14.6">
      <c r="C1339" s="289"/>
      <c r="D1339" s="150"/>
      <c r="E1339" s="150"/>
      <c r="F1339" s="150"/>
      <c r="G1339" s="150"/>
      <c r="H1339" s="150"/>
      <c r="I1339" s="150"/>
      <c r="J1339" s="150"/>
      <c r="K1339" s="150"/>
      <c r="L1339" s="150"/>
      <c r="M1339" s="150"/>
      <c r="N1339" s="150"/>
      <c r="O1339" s="150"/>
      <c r="P1339" s="150"/>
      <c r="Q1339" s="150"/>
      <c r="R1339" s="150"/>
      <c r="S1339" s="150"/>
      <c r="T1339" s="186"/>
      <c r="U1339" s="186"/>
      <c r="V1339" s="186"/>
      <c r="W1339" s="186"/>
      <c r="X1339" s="186"/>
      <c r="Y1339" s="186"/>
      <c r="Z1339" s="186"/>
      <c r="AA1339" s="186"/>
      <c r="AB1339" s="186"/>
      <c r="AC1339" s="186"/>
      <c r="AD1339" s="186"/>
      <c r="AF1339" s="150"/>
      <c r="AG1339" s="150"/>
      <c r="AH1339" s="150"/>
      <c r="AI1339" s="150"/>
      <c r="AJ1339" s="150"/>
      <c r="AK1339" s="150"/>
      <c r="AL1339" s="150"/>
      <c r="AM1339" s="150"/>
      <c r="AN1339" s="150"/>
      <c r="AO1339" s="150"/>
      <c r="AP1339" s="150"/>
      <c r="AQ1339" s="150"/>
      <c r="AT1339" s="186"/>
      <c r="AU1339" s="186"/>
      <c r="AV1339" s="186"/>
      <c r="AW1339" s="186"/>
      <c r="AX1339" s="186"/>
      <c r="AY1339" s="186"/>
      <c r="AZ1339" s="186"/>
      <c r="BA1339" s="186"/>
      <c r="BB1339" s="186"/>
      <c r="BC1339" s="186"/>
      <c r="BD1339" s="186"/>
      <c r="BE1339" s="186"/>
      <c r="BF1339" s="150"/>
      <c r="BG1339" s="150"/>
    </row>
    <row r="1340" spans="3:59" ht="14.6">
      <c r="C1340" s="289"/>
      <c r="D1340" s="150"/>
      <c r="E1340" s="150"/>
      <c r="F1340" s="150"/>
      <c r="G1340" s="150"/>
      <c r="H1340" s="150"/>
      <c r="I1340" s="150"/>
      <c r="J1340" s="150"/>
      <c r="K1340" s="150"/>
      <c r="L1340" s="150"/>
      <c r="M1340" s="150"/>
      <c r="N1340" s="150"/>
      <c r="O1340" s="150"/>
      <c r="P1340" s="150"/>
      <c r="Q1340" s="150"/>
      <c r="R1340" s="150"/>
      <c r="S1340" s="150"/>
      <c r="T1340" s="186"/>
      <c r="U1340" s="186"/>
      <c r="V1340" s="186"/>
      <c r="W1340" s="186"/>
      <c r="X1340" s="186"/>
      <c r="Y1340" s="186"/>
      <c r="Z1340" s="186"/>
      <c r="AA1340" s="186"/>
      <c r="AB1340" s="186"/>
      <c r="AC1340" s="186"/>
      <c r="AD1340" s="186"/>
      <c r="AF1340" s="150"/>
      <c r="AG1340" s="150"/>
      <c r="AH1340" s="150"/>
      <c r="AI1340" s="150"/>
      <c r="AJ1340" s="150"/>
      <c r="AK1340" s="150"/>
      <c r="AL1340" s="150"/>
      <c r="AM1340" s="150"/>
      <c r="AN1340" s="150"/>
      <c r="AO1340" s="150"/>
      <c r="AP1340" s="150"/>
      <c r="AQ1340" s="150"/>
      <c r="AT1340" s="186"/>
      <c r="AU1340" s="186"/>
      <c r="AV1340" s="186"/>
      <c r="AW1340" s="186"/>
      <c r="AX1340" s="186"/>
      <c r="AY1340" s="186"/>
      <c r="AZ1340" s="186"/>
      <c r="BA1340" s="186"/>
      <c r="BB1340" s="186"/>
      <c r="BC1340" s="186"/>
      <c r="BD1340" s="186"/>
      <c r="BE1340" s="186"/>
      <c r="BF1340" s="150"/>
      <c r="BG1340" s="150"/>
    </row>
    <row r="1341" spans="3:59" ht="14.6">
      <c r="C1341" s="289"/>
      <c r="D1341" s="150"/>
      <c r="E1341" s="150"/>
      <c r="F1341" s="150"/>
      <c r="G1341" s="150"/>
      <c r="H1341" s="150"/>
      <c r="I1341" s="150"/>
      <c r="J1341" s="150"/>
      <c r="K1341" s="150"/>
      <c r="L1341" s="150"/>
      <c r="M1341" s="150"/>
      <c r="N1341" s="150"/>
      <c r="O1341" s="150"/>
      <c r="P1341" s="150"/>
      <c r="Q1341" s="150"/>
      <c r="R1341" s="150"/>
      <c r="S1341" s="150"/>
      <c r="T1341" s="186"/>
      <c r="U1341" s="186"/>
      <c r="V1341" s="186"/>
      <c r="W1341" s="186"/>
      <c r="X1341" s="186"/>
      <c r="Y1341" s="186"/>
      <c r="Z1341" s="186"/>
      <c r="AA1341" s="186"/>
      <c r="AB1341" s="186"/>
      <c r="AC1341" s="186"/>
      <c r="AD1341" s="186"/>
      <c r="AF1341" s="150"/>
      <c r="AG1341" s="150"/>
      <c r="AH1341" s="150"/>
      <c r="AI1341" s="150"/>
      <c r="AJ1341" s="150"/>
      <c r="AK1341" s="150"/>
      <c r="AL1341" s="150"/>
      <c r="AM1341" s="150"/>
      <c r="AN1341" s="150"/>
      <c r="AO1341" s="150"/>
      <c r="AP1341" s="150"/>
      <c r="AQ1341" s="150"/>
      <c r="AT1341" s="186"/>
      <c r="AU1341" s="186"/>
      <c r="AV1341" s="186"/>
      <c r="AW1341" s="186"/>
      <c r="AX1341" s="186"/>
      <c r="AY1341" s="186"/>
      <c r="AZ1341" s="186"/>
      <c r="BA1341" s="186"/>
      <c r="BB1341" s="186"/>
      <c r="BC1341" s="186"/>
      <c r="BD1341" s="186"/>
      <c r="BE1341" s="186"/>
      <c r="BF1341" s="150"/>
      <c r="BG1341" s="150"/>
    </row>
    <row r="1342" spans="3:59" ht="14.6">
      <c r="C1342" s="289"/>
      <c r="D1342" s="150"/>
      <c r="E1342" s="150"/>
      <c r="F1342" s="150"/>
      <c r="G1342" s="150"/>
      <c r="H1342" s="150"/>
      <c r="I1342" s="150"/>
      <c r="J1342" s="150"/>
      <c r="K1342" s="150"/>
      <c r="L1342" s="150"/>
      <c r="M1342" s="150"/>
      <c r="N1342" s="150"/>
      <c r="O1342" s="150"/>
      <c r="P1342" s="150"/>
      <c r="Q1342" s="150"/>
      <c r="R1342" s="150"/>
      <c r="S1342" s="150"/>
      <c r="T1342" s="186"/>
      <c r="U1342" s="186"/>
      <c r="V1342" s="186"/>
      <c r="W1342" s="186"/>
      <c r="X1342" s="186"/>
      <c r="Y1342" s="186"/>
      <c r="Z1342" s="186"/>
      <c r="AA1342" s="186"/>
      <c r="AB1342" s="186"/>
      <c r="AC1342" s="186"/>
      <c r="AD1342" s="186"/>
      <c r="AF1342" s="150"/>
      <c r="AG1342" s="150"/>
      <c r="AH1342" s="150"/>
      <c r="AI1342" s="150"/>
      <c r="AJ1342" s="150"/>
      <c r="AK1342" s="150"/>
      <c r="AL1342" s="150"/>
      <c r="AM1342" s="150"/>
      <c r="AN1342" s="150"/>
      <c r="AO1342" s="150"/>
      <c r="AP1342" s="150"/>
      <c r="AQ1342" s="150"/>
      <c r="AT1342" s="186"/>
      <c r="AU1342" s="186"/>
      <c r="AV1342" s="186"/>
      <c r="AW1342" s="186"/>
      <c r="AX1342" s="186"/>
      <c r="AY1342" s="186"/>
      <c r="AZ1342" s="186"/>
      <c r="BA1342" s="186"/>
      <c r="BB1342" s="186"/>
      <c r="BC1342" s="186"/>
      <c r="BD1342" s="186"/>
      <c r="BE1342" s="186"/>
      <c r="BF1342" s="150"/>
      <c r="BG1342" s="150"/>
    </row>
    <row r="1343" spans="3:59" ht="14.6">
      <c r="C1343" s="289"/>
      <c r="D1343" s="150"/>
      <c r="E1343" s="150"/>
      <c r="F1343" s="150"/>
      <c r="G1343" s="150"/>
      <c r="H1343" s="150"/>
      <c r="I1343" s="150"/>
      <c r="J1343" s="150"/>
      <c r="K1343" s="150"/>
      <c r="L1343" s="150"/>
      <c r="M1343" s="150"/>
      <c r="N1343" s="150"/>
      <c r="O1343" s="150"/>
      <c r="P1343" s="150"/>
      <c r="Q1343" s="150"/>
      <c r="R1343" s="150"/>
      <c r="S1343" s="150"/>
      <c r="T1343" s="186"/>
      <c r="U1343" s="186"/>
      <c r="V1343" s="186"/>
      <c r="W1343" s="186"/>
      <c r="X1343" s="186"/>
      <c r="Y1343" s="186"/>
      <c r="Z1343" s="186"/>
      <c r="AA1343" s="186"/>
      <c r="AB1343" s="186"/>
      <c r="AC1343" s="186"/>
      <c r="AD1343" s="186"/>
      <c r="AF1343" s="150"/>
      <c r="AG1343" s="150"/>
      <c r="AH1343" s="150"/>
      <c r="AI1343" s="150"/>
      <c r="AJ1343" s="150"/>
      <c r="AK1343" s="150"/>
      <c r="AL1343" s="150"/>
      <c r="AM1343" s="150"/>
      <c r="AN1343" s="150"/>
      <c r="AO1343" s="150"/>
      <c r="AP1343" s="150"/>
      <c r="AQ1343" s="150"/>
      <c r="AT1343" s="186"/>
      <c r="AU1343" s="186"/>
      <c r="AV1343" s="186"/>
      <c r="AW1343" s="186"/>
      <c r="AX1343" s="186"/>
      <c r="AY1343" s="186"/>
      <c r="AZ1343" s="186"/>
      <c r="BA1343" s="186"/>
      <c r="BB1343" s="186"/>
      <c r="BC1343" s="186"/>
      <c r="BD1343" s="186"/>
      <c r="BE1343" s="186"/>
      <c r="BF1343" s="150"/>
      <c r="BG1343" s="150"/>
    </row>
    <row r="1344" spans="3:59" ht="14.6">
      <c r="C1344" s="289"/>
      <c r="D1344" s="150"/>
      <c r="E1344" s="150"/>
      <c r="F1344" s="150"/>
      <c r="G1344" s="150"/>
      <c r="H1344" s="150"/>
      <c r="I1344" s="150"/>
      <c r="J1344" s="150"/>
      <c r="K1344" s="150"/>
      <c r="L1344" s="150"/>
      <c r="M1344" s="150"/>
      <c r="N1344" s="150"/>
      <c r="O1344" s="150"/>
      <c r="P1344" s="150"/>
      <c r="Q1344" s="150"/>
      <c r="R1344" s="150"/>
      <c r="S1344" s="150"/>
      <c r="T1344" s="186"/>
      <c r="U1344" s="186"/>
      <c r="V1344" s="186"/>
      <c r="W1344" s="186"/>
      <c r="X1344" s="186"/>
      <c r="Y1344" s="186"/>
      <c r="Z1344" s="186"/>
      <c r="AA1344" s="186"/>
      <c r="AB1344" s="186"/>
      <c r="AC1344" s="186"/>
      <c r="AD1344" s="186"/>
      <c r="AF1344" s="150"/>
      <c r="AG1344" s="150"/>
      <c r="AH1344" s="150"/>
      <c r="AI1344" s="150"/>
      <c r="AJ1344" s="150"/>
      <c r="AK1344" s="150"/>
      <c r="AL1344" s="150"/>
      <c r="AM1344" s="150"/>
      <c r="AN1344" s="150"/>
      <c r="AO1344" s="150"/>
      <c r="AP1344" s="150"/>
      <c r="AQ1344" s="150"/>
      <c r="AT1344" s="186"/>
      <c r="AU1344" s="186"/>
      <c r="AV1344" s="186"/>
      <c r="AW1344" s="186"/>
      <c r="AX1344" s="186"/>
      <c r="AY1344" s="186"/>
      <c r="AZ1344" s="186"/>
      <c r="BA1344" s="186"/>
      <c r="BB1344" s="186"/>
      <c r="BC1344" s="186"/>
      <c r="BD1344" s="186"/>
      <c r="BE1344" s="186"/>
      <c r="BF1344" s="150"/>
      <c r="BG1344" s="150"/>
    </row>
    <row r="1345" spans="3:59" ht="14.6">
      <c r="C1345" s="289"/>
      <c r="D1345" s="150"/>
      <c r="E1345" s="150"/>
      <c r="F1345" s="150"/>
      <c r="G1345" s="150"/>
      <c r="H1345" s="150"/>
      <c r="I1345" s="150"/>
      <c r="J1345" s="150"/>
      <c r="K1345" s="150"/>
      <c r="L1345" s="150"/>
      <c r="M1345" s="150"/>
      <c r="N1345" s="150"/>
      <c r="O1345" s="150"/>
      <c r="P1345" s="150"/>
      <c r="Q1345" s="150"/>
      <c r="R1345" s="150"/>
      <c r="S1345" s="150"/>
      <c r="T1345" s="186"/>
      <c r="U1345" s="186"/>
      <c r="V1345" s="186"/>
      <c r="W1345" s="186"/>
      <c r="X1345" s="186"/>
      <c r="Y1345" s="186"/>
      <c r="Z1345" s="186"/>
      <c r="AA1345" s="186"/>
      <c r="AB1345" s="186"/>
      <c r="AC1345" s="186"/>
      <c r="AD1345" s="186"/>
      <c r="AF1345" s="150"/>
      <c r="AG1345" s="150"/>
      <c r="AH1345" s="150"/>
      <c r="AI1345" s="150"/>
      <c r="AJ1345" s="150"/>
      <c r="AK1345" s="150"/>
      <c r="AL1345" s="150"/>
      <c r="AM1345" s="150"/>
      <c r="AN1345" s="150"/>
      <c r="AO1345" s="150"/>
      <c r="AP1345" s="150"/>
      <c r="AQ1345" s="150"/>
      <c r="AT1345" s="186"/>
      <c r="AU1345" s="186"/>
      <c r="AV1345" s="186"/>
      <c r="AW1345" s="186"/>
      <c r="AX1345" s="186"/>
      <c r="AY1345" s="186"/>
      <c r="AZ1345" s="186"/>
      <c r="BA1345" s="186"/>
      <c r="BB1345" s="186"/>
      <c r="BC1345" s="186"/>
      <c r="BD1345" s="186"/>
      <c r="BE1345" s="186"/>
      <c r="BF1345" s="150"/>
      <c r="BG1345" s="150"/>
    </row>
    <row r="1346" spans="3:59" ht="14.6">
      <c r="C1346" s="289"/>
      <c r="D1346" s="150"/>
      <c r="E1346" s="150"/>
      <c r="F1346" s="150"/>
      <c r="G1346" s="150"/>
      <c r="H1346" s="150"/>
      <c r="I1346" s="150"/>
      <c r="J1346" s="150"/>
      <c r="K1346" s="150"/>
      <c r="L1346" s="150"/>
      <c r="M1346" s="150"/>
      <c r="N1346" s="150"/>
      <c r="O1346" s="150"/>
      <c r="P1346" s="150"/>
      <c r="Q1346" s="150"/>
      <c r="R1346" s="150"/>
      <c r="S1346" s="150"/>
      <c r="T1346" s="186"/>
      <c r="U1346" s="186"/>
      <c r="V1346" s="186"/>
      <c r="W1346" s="186"/>
      <c r="X1346" s="186"/>
      <c r="Y1346" s="186"/>
      <c r="Z1346" s="186"/>
      <c r="AA1346" s="186"/>
      <c r="AB1346" s="186"/>
      <c r="AC1346" s="186"/>
      <c r="AD1346" s="186"/>
      <c r="AF1346" s="150"/>
      <c r="AG1346" s="150"/>
      <c r="AH1346" s="150"/>
      <c r="AI1346" s="150"/>
      <c r="AJ1346" s="150"/>
      <c r="AK1346" s="150"/>
      <c r="AL1346" s="150"/>
      <c r="AM1346" s="150"/>
      <c r="AN1346" s="150"/>
      <c r="AO1346" s="150"/>
      <c r="AP1346" s="150"/>
      <c r="AQ1346" s="150"/>
      <c r="AT1346" s="186"/>
      <c r="AU1346" s="186"/>
      <c r="AV1346" s="186"/>
      <c r="AW1346" s="186"/>
      <c r="AX1346" s="186"/>
      <c r="AY1346" s="186"/>
      <c r="AZ1346" s="186"/>
      <c r="BA1346" s="186"/>
      <c r="BB1346" s="186"/>
      <c r="BC1346" s="186"/>
      <c r="BD1346" s="186"/>
      <c r="BE1346" s="186"/>
      <c r="BF1346" s="150"/>
      <c r="BG1346" s="150"/>
    </row>
    <row r="1347" spans="3:59" ht="14.6">
      <c r="C1347" s="289"/>
      <c r="D1347" s="150"/>
      <c r="E1347" s="150"/>
      <c r="F1347" s="150"/>
      <c r="G1347" s="150"/>
      <c r="H1347" s="150"/>
      <c r="I1347" s="150"/>
      <c r="J1347" s="150"/>
      <c r="K1347" s="150"/>
      <c r="L1347" s="150"/>
      <c r="M1347" s="150"/>
      <c r="N1347" s="150"/>
      <c r="O1347" s="150"/>
      <c r="P1347" s="150"/>
      <c r="Q1347" s="150"/>
      <c r="R1347" s="150"/>
      <c r="S1347" s="150"/>
      <c r="T1347" s="186"/>
      <c r="U1347" s="186"/>
      <c r="V1347" s="186"/>
      <c r="W1347" s="186"/>
      <c r="X1347" s="186"/>
      <c r="Y1347" s="186"/>
      <c r="Z1347" s="186"/>
      <c r="AA1347" s="186"/>
      <c r="AB1347" s="186"/>
      <c r="AC1347" s="186"/>
      <c r="AD1347" s="186"/>
      <c r="AF1347" s="150"/>
      <c r="AG1347" s="150"/>
      <c r="AH1347" s="150"/>
      <c r="AI1347" s="150"/>
      <c r="AJ1347" s="150"/>
      <c r="AK1347" s="150"/>
      <c r="AL1347" s="150"/>
      <c r="AM1347" s="150"/>
      <c r="AN1347" s="150"/>
      <c r="AO1347" s="150"/>
      <c r="AP1347" s="150"/>
      <c r="AQ1347" s="150"/>
      <c r="AT1347" s="186"/>
      <c r="AU1347" s="186"/>
      <c r="AV1347" s="186"/>
      <c r="AW1347" s="186"/>
      <c r="AX1347" s="186"/>
      <c r="AY1347" s="186"/>
      <c r="AZ1347" s="186"/>
      <c r="BA1347" s="186"/>
      <c r="BB1347" s="186"/>
      <c r="BC1347" s="186"/>
      <c r="BD1347" s="186"/>
      <c r="BE1347" s="186"/>
      <c r="BF1347" s="150"/>
      <c r="BG1347" s="150"/>
    </row>
    <row r="1348" spans="3:59" ht="14.6">
      <c r="C1348" s="289"/>
      <c r="D1348" s="150"/>
      <c r="E1348" s="150"/>
      <c r="F1348" s="150"/>
      <c r="G1348" s="150"/>
      <c r="H1348" s="150"/>
      <c r="I1348" s="150"/>
      <c r="J1348" s="150"/>
      <c r="K1348" s="150"/>
      <c r="L1348" s="150"/>
      <c r="M1348" s="150"/>
      <c r="N1348" s="150"/>
      <c r="O1348" s="150"/>
      <c r="P1348" s="150"/>
      <c r="Q1348" s="150"/>
      <c r="R1348" s="150"/>
      <c r="S1348" s="150"/>
      <c r="T1348" s="186"/>
      <c r="U1348" s="186"/>
      <c r="V1348" s="186"/>
      <c r="W1348" s="186"/>
      <c r="X1348" s="186"/>
      <c r="Y1348" s="186"/>
      <c r="Z1348" s="186"/>
      <c r="AA1348" s="186"/>
      <c r="AB1348" s="186"/>
      <c r="AC1348" s="186"/>
      <c r="AD1348" s="186"/>
      <c r="AF1348" s="150"/>
      <c r="AG1348" s="150"/>
      <c r="AH1348" s="150"/>
      <c r="AI1348" s="150"/>
      <c r="AJ1348" s="150"/>
      <c r="AK1348" s="150"/>
      <c r="AL1348" s="150"/>
      <c r="AM1348" s="150"/>
      <c r="AN1348" s="150"/>
      <c r="AO1348" s="150"/>
      <c r="AP1348" s="150"/>
      <c r="AQ1348" s="150"/>
      <c r="AT1348" s="186"/>
      <c r="AU1348" s="186"/>
      <c r="AV1348" s="186"/>
      <c r="AW1348" s="186"/>
      <c r="AX1348" s="186"/>
      <c r="AY1348" s="186"/>
      <c r="AZ1348" s="186"/>
      <c r="BA1348" s="186"/>
      <c r="BB1348" s="186"/>
      <c r="BC1348" s="186"/>
      <c r="BD1348" s="186"/>
      <c r="BE1348" s="186"/>
      <c r="BF1348" s="150"/>
      <c r="BG1348" s="150"/>
    </row>
    <row r="1349" spans="3:59" ht="14.6">
      <c r="C1349" s="289"/>
      <c r="D1349" s="150"/>
      <c r="E1349" s="150"/>
      <c r="F1349" s="150"/>
      <c r="G1349" s="150"/>
      <c r="H1349" s="150"/>
      <c r="I1349" s="150"/>
      <c r="J1349" s="150"/>
      <c r="K1349" s="150"/>
      <c r="L1349" s="150"/>
      <c r="M1349" s="150"/>
      <c r="N1349" s="150"/>
      <c r="O1349" s="150"/>
      <c r="P1349" s="150"/>
      <c r="Q1349" s="150"/>
      <c r="R1349" s="150"/>
      <c r="S1349" s="150"/>
      <c r="T1349" s="186"/>
      <c r="U1349" s="186"/>
      <c r="V1349" s="186"/>
      <c r="W1349" s="186"/>
      <c r="X1349" s="186"/>
      <c r="Y1349" s="186"/>
      <c r="Z1349" s="186"/>
      <c r="AA1349" s="186"/>
      <c r="AB1349" s="186"/>
      <c r="AC1349" s="186"/>
      <c r="AD1349" s="186"/>
      <c r="AF1349" s="150"/>
      <c r="AG1349" s="150"/>
      <c r="AH1349" s="150"/>
      <c r="AI1349" s="150"/>
      <c r="AJ1349" s="150"/>
      <c r="AK1349" s="150"/>
      <c r="AL1349" s="150"/>
      <c r="AM1349" s="150"/>
      <c r="AN1349" s="150"/>
      <c r="AO1349" s="150"/>
      <c r="AP1349" s="150"/>
      <c r="AQ1349" s="150"/>
      <c r="AT1349" s="186"/>
      <c r="AU1349" s="186"/>
      <c r="AV1349" s="186"/>
      <c r="AW1349" s="186"/>
      <c r="AX1349" s="186"/>
      <c r="AY1349" s="186"/>
      <c r="AZ1349" s="186"/>
      <c r="BA1349" s="186"/>
      <c r="BB1349" s="186"/>
      <c r="BC1349" s="186"/>
      <c r="BD1349" s="186"/>
      <c r="BE1349" s="186"/>
      <c r="BF1349" s="150"/>
      <c r="BG1349" s="150"/>
    </row>
    <row r="1350" spans="3:59" ht="14.6">
      <c r="C1350" s="289"/>
      <c r="D1350" s="150"/>
      <c r="E1350" s="150"/>
      <c r="F1350" s="150"/>
      <c r="G1350" s="150"/>
      <c r="H1350" s="150"/>
      <c r="I1350" s="150"/>
      <c r="J1350" s="150"/>
      <c r="K1350" s="150"/>
      <c r="L1350" s="150"/>
      <c r="M1350" s="150"/>
      <c r="N1350" s="150"/>
      <c r="O1350" s="150"/>
      <c r="P1350" s="150"/>
      <c r="Q1350" s="150"/>
      <c r="R1350" s="150"/>
      <c r="S1350" s="150"/>
      <c r="T1350" s="186"/>
      <c r="U1350" s="186"/>
      <c r="V1350" s="186"/>
      <c r="W1350" s="186"/>
      <c r="X1350" s="186"/>
      <c r="Y1350" s="186"/>
      <c r="Z1350" s="186"/>
      <c r="AA1350" s="186"/>
      <c r="AB1350" s="186"/>
      <c r="AC1350" s="186"/>
      <c r="AD1350" s="186"/>
      <c r="AF1350" s="150"/>
      <c r="AG1350" s="150"/>
      <c r="AH1350" s="150"/>
      <c r="AI1350" s="150"/>
      <c r="AJ1350" s="150"/>
      <c r="AK1350" s="150"/>
      <c r="AL1350" s="150"/>
      <c r="AM1350" s="150"/>
      <c r="AN1350" s="150"/>
      <c r="AO1350" s="150"/>
      <c r="AP1350" s="150"/>
      <c r="AQ1350" s="150"/>
      <c r="AT1350" s="186"/>
      <c r="AU1350" s="186"/>
      <c r="AV1350" s="186"/>
      <c r="AW1350" s="186"/>
      <c r="AX1350" s="186"/>
      <c r="AY1350" s="186"/>
      <c r="AZ1350" s="186"/>
      <c r="BA1350" s="186"/>
      <c r="BB1350" s="186"/>
      <c r="BC1350" s="186"/>
      <c r="BD1350" s="186"/>
      <c r="BE1350" s="186"/>
      <c r="BF1350" s="150"/>
      <c r="BG1350" s="150"/>
    </row>
    <row r="1351" spans="3:59" ht="14.6">
      <c r="C1351" s="289"/>
      <c r="D1351" s="150"/>
      <c r="E1351" s="150"/>
      <c r="F1351" s="150"/>
      <c r="G1351" s="150"/>
      <c r="H1351" s="150"/>
      <c r="I1351" s="150"/>
      <c r="J1351" s="150"/>
      <c r="K1351" s="150"/>
      <c r="L1351" s="150"/>
      <c r="M1351" s="150"/>
      <c r="N1351" s="150"/>
      <c r="O1351" s="150"/>
      <c r="P1351" s="150"/>
      <c r="Q1351" s="150"/>
      <c r="R1351" s="150"/>
      <c r="S1351" s="150"/>
      <c r="T1351" s="186"/>
      <c r="U1351" s="186"/>
      <c r="V1351" s="186"/>
      <c r="W1351" s="186"/>
      <c r="X1351" s="186"/>
      <c r="Y1351" s="186"/>
      <c r="Z1351" s="186"/>
      <c r="AA1351" s="186"/>
      <c r="AB1351" s="186"/>
      <c r="AC1351" s="186"/>
      <c r="AD1351" s="186"/>
      <c r="AF1351" s="150"/>
      <c r="AG1351" s="150"/>
      <c r="AH1351" s="150"/>
      <c r="AI1351" s="150"/>
      <c r="AJ1351" s="150"/>
      <c r="AK1351" s="150"/>
      <c r="AL1351" s="150"/>
      <c r="AM1351" s="150"/>
      <c r="AN1351" s="150"/>
      <c r="AO1351" s="150"/>
      <c r="AP1351" s="150"/>
      <c r="AQ1351" s="150"/>
      <c r="AT1351" s="186"/>
      <c r="AU1351" s="186"/>
      <c r="AV1351" s="186"/>
      <c r="AW1351" s="186"/>
      <c r="AX1351" s="186"/>
      <c r="AY1351" s="186"/>
      <c r="AZ1351" s="186"/>
      <c r="BA1351" s="186"/>
      <c r="BB1351" s="186"/>
      <c r="BC1351" s="186"/>
      <c r="BD1351" s="186"/>
      <c r="BE1351" s="186"/>
      <c r="BF1351" s="150"/>
      <c r="BG1351" s="150"/>
    </row>
    <row r="1352" spans="3:59" ht="14.6">
      <c r="C1352" s="289"/>
      <c r="D1352" s="150"/>
      <c r="E1352" s="150"/>
      <c r="F1352" s="150"/>
      <c r="G1352" s="150"/>
      <c r="H1352" s="150"/>
      <c r="I1352" s="150"/>
      <c r="J1352" s="150"/>
      <c r="K1352" s="150"/>
      <c r="L1352" s="150"/>
      <c r="M1352" s="150"/>
      <c r="N1352" s="150"/>
      <c r="O1352" s="150"/>
      <c r="P1352" s="150"/>
      <c r="Q1352" s="150"/>
      <c r="R1352" s="150"/>
      <c r="S1352" s="150"/>
      <c r="T1352" s="186"/>
      <c r="U1352" s="186"/>
      <c r="V1352" s="186"/>
      <c r="W1352" s="186"/>
      <c r="X1352" s="186"/>
      <c r="Y1352" s="186"/>
      <c r="Z1352" s="186"/>
      <c r="AA1352" s="186"/>
      <c r="AB1352" s="186"/>
      <c r="AC1352" s="186"/>
      <c r="AD1352" s="186"/>
      <c r="AF1352" s="150"/>
      <c r="AG1352" s="150"/>
      <c r="AH1352" s="150"/>
      <c r="AI1352" s="150"/>
      <c r="AJ1352" s="150"/>
      <c r="AK1352" s="150"/>
      <c r="AL1352" s="150"/>
      <c r="AM1352" s="150"/>
      <c r="AN1352" s="150"/>
      <c r="AO1352" s="150"/>
      <c r="AP1352" s="150"/>
      <c r="AQ1352" s="150"/>
      <c r="AT1352" s="186"/>
      <c r="AU1352" s="186"/>
      <c r="AV1352" s="186"/>
      <c r="AW1352" s="186"/>
      <c r="AX1352" s="186"/>
      <c r="AY1352" s="186"/>
      <c r="AZ1352" s="186"/>
      <c r="BA1352" s="186"/>
      <c r="BB1352" s="186"/>
      <c r="BC1352" s="186"/>
      <c r="BD1352" s="186"/>
      <c r="BE1352" s="186"/>
      <c r="BF1352" s="150"/>
      <c r="BG1352" s="150"/>
    </row>
    <row r="1353" spans="3:59" ht="14.6">
      <c r="C1353" s="289"/>
      <c r="D1353" s="150"/>
      <c r="E1353" s="150"/>
      <c r="F1353" s="150"/>
      <c r="G1353" s="150"/>
      <c r="H1353" s="150"/>
      <c r="I1353" s="150"/>
      <c r="J1353" s="150"/>
      <c r="K1353" s="150"/>
      <c r="L1353" s="150"/>
      <c r="M1353" s="150"/>
      <c r="N1353" s="150"/>
      <c r="O1353" s="150"/>
      <c r="P1353" s="150"/>
      <c r="Q1353" s="150"/>
      <c r="R1353" s="150"/>
      <c r="S1353" s="150"/>
      <c r="T1353" s="186"/>
      <c r="U1353" s="186"/>
      <c r="V1353" s="186"/>
      <c r="W1353" s="186"/>
      <c r="X1353" s="186"/>
      <c r="Y1353" s="186"/>
      <c r="Z1353" s="186"/>
      <c r="AA1353" s="186"/>
      <c r="AB1353" s="186"/>
      <c r="AC1353" s="186"/>
      <c r="AD1353" s="186"/>
      <c r="AF1353" s="150"/>
      <c r="AG1353" s="150"/>
      <c r="AH1353" s="150"/>
      <c r="AI1353" s="150"/>
      <c r="AJ1353" s="150"/>
      <c r="AK1353" s="150"/>
      <c r="AL1353" s="150"/>
      <c r="AM1353" s="150"/>
      <c r="AN1353" s="150"/>
      <c r="AO1353" s="150"/>
      <c r="AP1353" s="150"/>
      <c r="AQ1353" s="150"/>
      <c r="AT1353" s="186"/>
      <c r="AU1353" s="186"/>
      <c r="AV1353" s="186"/>
      <c r="AW1353" s="186"/>
      <c r="AX1353" s="186"/>
      <c r="AY1353" s="186"/>
      <c r="AZ1353" s="186"/>
      <c r="BA1353" s="186"/>
      <c r="BB1353" s="186"/>
      <c r="BC1353" s="186"/>
      <c r="BD1353" s="186"/>
      <c r="BE1353" s="186"/>
      <c r="BF1353" s="150"/>
      <c r="BG1353" s="150"/>
    </row>
    <row r="1354" spans="3:59" ht="14.6">
      <c r="C1354" s="289"/>
      <c r="D1354" s="150"/>
      <c r="E1354" s="150"/>
      <c r="F1354" s="150"/>
      <c r="G1354" s="150"/>
      <c r="H1354" s="150"/>
      <c r="I1354" s="150"/>
      <c r="J1354" s="150"/>
      <c r="K1354" s="150"/>
      <c r="L1354" s="150"/>
      <c r="M1354" s="150"/>
      <c r="N1354" s="150"/>
      <c r="O1354" s="150"/>
      <c r="P1354" s="150"/>
      <c r="Q1354" s="150"/>
      <c r="R1354" s="150"/>
      <c r="S1354" s="150"/>
      <c r="T1354" s="186"/>
      <c r="U1354" s="186"/>
      <c r="V1354" s="186"/>
      <c r="W1354" s="186"/>
      <c r="X1354" s="186"/>
      <c r="Y1354" s="186"/>
      <c r="Z1354" s="186"/>
      <c r="AA1354" s="186"/>
      <c r="AB1354" s="186"/>
      <c r="AC1354" s="186"/>
      <c r="AD1354" s="186"/>
      <c r="AF1354" s="150"/>
      <c r="AG1354" s="150"/>
      <c r="AH1354" s="150"/>
      <c r="AI1354" s="150"/>
      <c r="AJ1354" s="150"/>
      <c r="AK1354" s="150"/>
      <c r="AL1354" s="150"/>
      <c r="AM1354" s="150"/>
      <c r="AN1354" s="150"/>
      <c r="AO1354" s="150"/>
      <c r="AP1354" s="150"/>
      <c r="AQ1354" s="150"/>
      <c r="AT1354" s="186"/>
      <c r="AU1354" s="186"/>
      <c r="AV1354" s="186"/>
      <c r="AW1354" s="186"/>
      <c r="AX1354" s="186"/>
      <c r="AY1354" s="186"/>
      <c r="AZ1354" s="186"/>
      <c r="BA1354" s="186"/>
      <c r="BB1354" s="186"/>
      <c r="BC1354" s="186"/>
      <c r="BD1354" s="186"/>
      <c r="BE1354" s="186"/>
      <c r="BF1354" s="150"/>
      <c r="BG1354" s="150"/>
    </row>
    <row r="1355" spans="3:59" ht="14.6">
      <c r="C1355" s="289"/>
      <c r="D1355" s="150"/>
      <c r="E1355" s="150"/>
      <c r="F1355" s="150"/>
      <c r="G1355" s="150"/>
      <c r="H1355" s="150"/>
      <c r="I1355" s="150"/>
      <c r="J1355" s="150"/>
      <c r="K1355" s="150"/>
      <c r="L1355" s="150"/>
      <c r="M1355" s="150"/>
      <c r="N1355" s="150"/>
      <c r="O1355" s="150"/>
      <c r="P1355" s="150"/>
      <c r="Q1355" s="150"/>
      <c r="R1355" s="150"/>
      <c r="S1355" s="150"/>
      <c r="T1355" s="186"/>
      <c r="U1355" s="186"/>
      <c r="V1355" s="186"/>
      <c r="W1355" s="186"/>
      <c r="X1355" s="186"/>
      <c r="Y1355" s="186"/>
      <c r="Z1355" s="186"/>
      <c r="AA1355" s="186"/>
      <c r="AB1355" s="186"/>
      <c r="AC1355" s="186"/>
      <c r="AD1355" s="186"/>
      <c r="AF1355" s="150"/>
      <c r="AG1355" s="150"/>
      <c r="AH1355" s="150"/>
      <c r="AI1355" s="150"/>
      <c r="AJ1355" s="150"/>
      <c r="AK1355" s="150"/>
      <c r="AL1355" s="150"/>
      <c r="AM1355" s="150"/>
      <c r="AN1355" s="150"/>
      <c r="AO1355" s="150"/>
      <c r="AP1355" s="150"/>
      <c r="AQ1355" s="150"/>
      <c r="AT1355" s="186"/>
      <c r="AU1355" s="186"/>
      <c r="AV1355" s="186"/>
      <c r="AW1355" s="186"/>
      <c r="AX1355" s="186"/>
      <c r="AY1355" s="186"/>
      <c r="AZ1355" s="186"/>
      <c r="BA1355" s="186"/>
      <c r="BB1355" s="186"/>
      <c r="BC1355" s="186"/>
      <c r="BD1355" s="186"/>
      <c r="BE1355" s="186"/>
      <c r="BF1355" s="150"/>
      <c r="BG1355" s="150"/>
    </row>
    <row r="1356" spans="3:59" ht="14.6">
      <c r="C1356" s="289"/>
      <c r="D1356" s="150"/>
      <c r="E1356" s="150"/>
      <c r="F1356" s="150"/>
      <c r="G1356" s="150"/>
      <c r="H1356" s="150"/>
      <c r="I1356" s="150"/>
      <c r="J1356" s="150"/>
      <c r="K1356" s="150"/>
      <c r="L1356" s="150"/>
      <c r="M1356" s="150"/>
      <c r="N1356" s="150"/>
      <c r="O1356" s="150"/>
      <c r="P1356" s="150"/>
      <c r="Q1356" s="150"/>
      <c r="R1356" s="150"/>
      <c r="S1356" s="150"/>
      <c r="T1356" s="186"/>
      <c r="U1356" s="186"/>
      <c r="V1356" s="186"/>
      <c r="W1356" s="186"/>
      <c r="X1356" s="186"/>
      <c r="Y1356" s="186"/>
      <c r="Z1356" s="186"/>
      <c r="AA1356" s="186"/>
      <c r="AB1356" s="186"/>
      <c r="AC1356" s="186"/>
      <c r="AD1356" s="186"/>
      <c r="AF1356" s="150"/>
      <c r="AG1356" s="150"/>
      <c r="AH1356" s="150"/>
      <c r="AI1356" s="150"/>
      <c r="AJ1356" s="150"/>
      <c r="AK1356" s="150"/>
      <c r="AL1356" s="150"/>
      <c r="AM1356" s="150"/>
      <c r="AN1356" s="150"/>
      <c r="AO1356" s="150"/>
      <c r="AP1356" s="150"/>
      <c r="AQ1356" s="150"/>
      <c r="AT1356" s="186"/>
      <c r="AU1356" s="186"/>
      <c r="AV1356" s="186"/>
      <c r="AW1356" s="186"/>
      <c r="AX1356" s="186"/>
      <c r="AY1356" s="186"/>
      <c r="AZ1356" s="186"/>
      <c r="BA1356" s="186"/>
      <c r="BB1356" s="186"/>
      <c r="BC1356" s="186"/>
      <c r="BD1356" s="186"/>
      <c r="BE1356" s="186"/>
      <c r="BF1356" s="150"/>
      <c r="BG1356" s="150"/>
    </row>
    <row r="1357" spans="3:59" ht="14.6">
      <c r="C1357" s="289"/>
      <c r="D1357" s="150"/>
      <c r="E1357" s="150"/>
      <c r="F1357" s="150"/>
      <c r="G1357" s="150"/>
      <c r="H1357" s="150"/>
      <c r="I1357" s="150"/>
      <c r="J1357" s="150"/>
      <c r="K1357" s="150"/>
      <c r="L1357" s="150"/>
      <c r="M1357" s="150"/>
      <c r="N1357" s="150"/>
      <c r="O1357" s="150"/>
      <c r="P1357" s="150"/>
      <c r="Q1357" s="150"/>
      <c r="R1357" s="150"/>
      <c r="S1357" s="150"/>
      <c r="T1357" s="186"/>
      <c r="U1357" s="186"/>
      <c r="V1357" s="186"/>
      <c r="W1357" s="186"/>
      <c r="X1357" s="186"/>
      <c r="Y1357" s="186"/>
      <c r="Z1357" s="186"/>
      <c r="AA1357" s="186"/>
      <c r="AB1357" s="186"/>
      <c r="AC1357" s="186"/>
      <c r="AD1357" s="186"/>
      <c r="AF1357" s="150"/>
      <c r="AG1357" s="150"/>
      <c r="AH1357" s="150"/>
      <c r="AI1357" s="150"/>
      <c r="AJ1357" s="150"/>
      <c r="AK1357" s="150"/>
      <c r="AL1357" s="150"/>
      <c r="AM1357" s="150"/>
      <c r="AN1357" s="150"/>
      <c r="AO1357" s="150"/>
      <c r="AP1357" s="150"/>
      <c r="AQ1357" s="150"/>
      <c r="AT1357" s="186"/>
      <c r="AU1357" s="186"/>
      <c r="AV1357" s="186"/>
      <c r="AW1357" s="186"/>
      <c r="AX1357" s="186"/>
      <c r="AY1357" s="186"/>
      <c r="AZ1357" s="186"/>
      <c r="BA1357" s="186"/>
      <c r="BB1357" s="186"/>
      <c r="BC1357" s="186"/>
      <c r="BD1357" s="186"/>
      <c r="BE1357" s="186"/>
      <c r="BF1357" s="150"/>
      <c r="BG1357" s="150"/>
    </row>
    <row r="1358" spans="3:59" ht="14.6">
      <c r="C1358" s="289"/>
      <c r="D1358" s="150"/>
      <c r="E1358" s="150"/>
      <c r="F1358" s="150"/>
      <c r="G1358" s="150"/>
      <c r="H1358" s="150"/>
      <c r="I1358" s="150"/>
      <c r="J1358" s="150"/>
      <c r="K1358" s="150"/>
      <c r="L1358" s="150"/>
      <c r="M1358" s="150"/>
      <c r="N1358" s="150"/>
      <c r="O1358" s="150"/>
      <c r="P1358" s="150"/>
      <c r="Q1358" s="150"/>
      <c r="R1358" s="150"/>
      <c r="S1358" s="150"/>
      <c r="T1358" s="186"/>
      <c r="U1358" s="186"/>
      <c r="V1358" s="186"/>
      <c r="W1358" s="186"/>
      <c r="X1358" s="186"/>
      <c r="Y1358" s="186"/>
      <c r="Z1358" s="186"/>
      <c r="AA1358" s="186"/>
      <c r="AB1358" s="186"/>
      <c r="AC1358" s="186"/>
      <c r="AD1358" s="186"/>
      <c r="AF1358" s="150"/>
      <c r="AG1358" s="150"/>
      <c r="AH1358" s="150"/>
      <c r="AI1358" s="150"/>
      <c r="AJ1358" s="150"/>
      <c r="AK1358" s="150"/>
      <c r="AL1358" s="150"/>
      <c r="AM1358" s="150"/>
      <c r="AN1358" s="150"/>
      <c r="AO1358" s="150"/>
      <c r="AP1358" s="150"/>
      <c r="AQ1358" s="150"/>
      <c r="AT1358" s="186"/>
      <c r="AU1358" s="186"/>
      <c r="AV1358" s="186"/>
      <c r="AW1358" s="186"/>
      <c r="AX1358" s="186"/>
      <c r="AY1358" s="186"/>
      <c r="AZ1358" s="186"/>
      <c r="BA1358" s="186"/>
      <c r="BB1358" s="186"/>
      <c r="BC1358" s="186"/>
      <c r="BD1358" s="186"/>
      <c r="BE1358" s="186"/>
      <c r="BF1358" s="150"/>
      <c r="BG1358" s="150"/>
    </row>
    <row r="1359" spans="3:59" ht="14.6">
      <c r="C1359" s="289"/>
      <c r="D1359" s="150"/>
      <c r="E1359" s="150"/>
      <c r="F1359" s="150"/>
      <c r="G1359" s="150"/>
      <c r="H1359" s="150"/>
      <c r="I1359" s="150"/>
      <c r="J1359" s="150"/>
      <c r="K1359" s="150"/>
      <c r="L1359" s="150"/>
      <c r="M1359" s="150"/>
      <c r="N1359" s="150"/>
      <c r="O1359" s="150"/>
      <c r="P1359" s="150"/>
      <c r="Q1359" s="150"/>
      <c r="R1359" s="150"/>
      <c r="S1359" s="150"/>
      <c r="T1359" s="186"/>
      <c r="U1359" s="186"/>
      <c r="V1359" s="186"/>
      <c r="W1359" s="186"/>
      <c r="X1359" s="186"/>
      <c r="Y1359" s="186"/>
      <c r="Z1359" s="186"/>
      <c r="AA1359" s="186"/>
      <c r="AB1359" s="186"/>
      <c r="AC1359" s="186"/>
      <c r="AD1359" s="186"/>
      <c r="AF1359" s="150"/>
      <c r="AG1359" s="150"/>
      <c r="AH1359" s="150"/>
      <c r="AI1359" s="150"/>
      <c r="AJ1359" s="150"/>
      <c r="AK1359" s="150"/>
      <c r="AL1359" s="150"/>
      <c r="AM1359" s="150"/>
      <c r="AN1359" s="150"/>
      <c r="AO1359" s="150"/>
      <c r="AP1359" s="150"/>
      <c r="AQ1359" s="150"/>
      <c r="AT1359" s="186"/>
      <c r="AU1359" s="186"/>
      <c r="AV1359" s="186"/>
      <c r="AW1359" s="186"/>
      <c r="AX1359" s="186"/>
      <c r="AY1359" s="186"/>
      <c r="AZ1359" s="186"/>
      <c r="BA1359" s="186"/>
      <c r="BB1359" s="186"/>
      <c r="BC1359" s="186"/>
      <c r="BD1359" s="186"/>
      <c r="BE1359" s="186"/>
      <c r="BF1359" s="150"/>
      <c r="BG1359" s="150"/>
    </row>
    <row r="1360" spans="3:59" ht="14.6">
      <c r="C1360" s="289"/>
      <c r="D1360" s="150"/>
      <c r="E1360" s="150"/>
      <c r="F1360" s="150"/>
      <c r="G1360" s="150"/>
      <c r="H1360" s="150"/>
      <c r="I1360" s="150"/>
      <c r="J1360" s="150"/>
      <c r="K1360" s="150"/>
      <c r="L1360" s="150"/>
      <c r="M1360" s="150"/>
      <c r="N1360" s="150"/>
      <c r="O1360" s="150"/>
      <c r="P1360" s="150"/>
      <c r="Q1360" s="150"/>
      <c r="R1360" s="150"/>
      <c r="S1360" s="150"/>
      <c r="T1360" s="186"/>
      <c r="U1360" s="186"/>
      <c r="V1360" s="186"/>
      <c r="W1360" s="186"/>
      <c r="X1360" s="186"/>
      <c r="Y1360" s="186"/>
      <c r="Z1360" s="186"/>
      <c r="AA1360" s="186"/>
      <c r="AB1360" s="186"/>
      <c r="AC1360" s="186"/>
      <c r="AD1360" s="186"/>
      <c r="AF1360" s="150"/>
      <c r="AG1360" s="150"/>
      <c r="AH1360" s="150"/>
      <c r="AI1360" s="150"/>
      <c r="AJ1360" s="150"/>
      <c r="AK1360" s="150"/>
      <c r="AL1360" s="150"/>
      <c r="AM1360" s="150"/>
      <c r="AN1360" s="150"/>
      <c r="AO1360" s="150"/>
      <c r="AP1360" s="150"/>
      <c r="AQ1360" s="150"/>
      <c r="AT1360" s="186"/>
      <c r="AU1360" s="186"/>
      <c r="AV1360" s="186"/>
      <c r="AW1360" s="186"/>
      <c r="AX1360" s="186"/>
      <c r="AY1360" s="186"/>
      <c r="AZ1360" s="186"/>
      <c r="BA1360" s="186"/>
      <c r="BB1360" s="186"/>
      <c r="BC1360" s="186"/>
      <c r="BD1360" s="186"/>
      <c r="BE1360" s="186"/>
      <c r="BF1360" s="150"/>
      <c r="BG1360" s="150"/>
    </row>
    <row r="1361" spans="3:59" ht="14.6">
      <c r="C1361" s="289"/>
      <c r="D1361" s="150"/>
      <c r="E1361" s="150"/>
      <c r="F1361" s="150"/>
      <c r="G1361" s="150"/>
      <c r="H1361" s="150"/>
      <c r="I1361" s="150"/>
      <c r="J1361" s="150"/>
      <c r="K1361" s="150"/>
      <c r="L1361" s="150"/>
      <c r="M1361" s="150"/>
      <c r="N1361" s="150"/>
      <c r="O1361" s="150"/>
      <c r="P1361" s="150"/>
      <c r="Q1361" s="150"/>
      <c r="R1361" s="150"/>
      <c r="S1361" s="150"/>
      <c r="T1361" s="186"/>
      <c r="U1361" s="186"/>
      <c r="V1361" s="186"/>
      <c r="W1361" s="186"/>
      <c r="X1361" s="186"/>
      <c r="Y1361" s="186"/>
      <c r="Z1361" s="186"/>
      <c r="AA1361" s="186"/>
      <c r="AB1361" s="186"/>
      <c r="AC1361" s="186"/>
      <c r="AD1361" s="186"/>
      <c r="AF1361" s="150"/>
      <c r="AG1361" s="150"/>
      <c r="AH1361" s="150"/>
      <c r="AI1361" s="150"/>
      <c r="AJ1361" s="150"/>
      <c r="AK1361" s="150"/>
      <c r="AL1361" s="150"/>
      <c r="AM1361" s="150"/>
      <c r="AN1361" s="150"/>
      <c r="AO1361" s="150"/>
      <c r="AP1361" s="150"/>
      <c r="AQ1361" s="150"/>
      <c r="AT1361" s="186"/>
      <c r="AU1361" s="186"/>
      <c r="AV1361" s="186"/>
      <c r="AW1361" s="186"/>
      <c r="AX1361" s="186"/>
      <c r="AY1361" s="186"/>
      <c r="AZ1361" s="186"/>
      <c r="BA1361" s="186"/>
      <c r="BB1361" s="186"/>
      <c r="BC1361" s="186"/>
      <c r="BD1361" s="186"/>
      <c r="BE1361" s="186"/>
      <c r="BF1361" s="150"/>
      <c r="BG1361" s="150"/>
    </row>
    <row r="1362" spans="3:59" ht="14.6">
      <c r="C1362" s="289"/>
      <c r="D1362" s="150"/>
      <c r="E1362" s="150"/>
      <c r="F1362" s="150"/>
      <c r="G1362" s="150"/>
      <c r="H1362" s="150"/>
      <c r="I1362" s="150"/>
      <c r="J1362" s="150"/>
      <c r="K1362" s="150"/>
      <c r="L1362" s="150"/>
      <c r="M1362" s="150"/>
      <c r="N1362" s="150"/>
      <c r="O1362" s="150"/>
      <c r="P1362" s="150"/>
      <c r="Q1362" s="150"/>
      <c r="R1362" s="150"/>
      <c r="S1362" s="150"/>
      <c r="T1362" s="186"/>
      <c r="U1362" s="186"/>
      <c r="V1362" s="186"/>
      <c r="W1362" s="186"/>
      <c r="X1362" s="186"/>
      <c r="Y1362" s="186"/>
      <c r="Z1362" s="186"/>
      <c r="AA1362" s="186"/>
      <c r="AB1362" s="186"/>
      <c r="AC1362" s="186"/>
      <c r="AD1362" s="186"/>
      <c r="AF1362" s="150"/>
      <c r="AG1362" s="150"/>
      <c r="AH1362" s="150"/>
      <c r="AI1362" s="150"/>
      <c r="AJ1362" s="150"/>
      <c r="AK1362" s="150"/>
      <c r="AL1362" s="150"/>
      <c r="AM1362" s="150"/>
      <c r="AN1362" s="150"/>
      <c r="AO1362" s="150"/>
      <c r="AP1362" s="150"/>
      <c r="AQ1362" s="150"/>
      <c r="AT1362" s="186"/>
      <c r="AU1362" s="186"/>
      <c r="AV1362" s="186"/>
      <c r="AW1362" s="186"/>
      <c r="AX1362" s="186"/>
      <c r="AY1362" s="186"/>
      <c r="AZ1362" s="186"/>
      <c r="BA1362" s="186"/>
      <c r="BB1362" s="186"/>
      <c r="BC1362" s="186"/>
      <c r="BD1362" s="186"/>
      <c r="BE1362" s="186"/>
      <c r="BF1362" s="150"/>
      <c r="BG1362" s="150"/>
    </row>
    <row r="1363" spans="3:59" ht="14.6">
      <c r="C1363" s="289"/>
      <c r="D1363" s="150"/>
      <c r="E1363" s="150"/>
      <c r="F1363" s="150"/>
      <c r="G1363" s="150"/>
      <c r="H1363" s="150"/>
      <c r="I1363" s="150"/>
      <c r="J1363" s="150"/>
      <c r="K1363" s="150"/>
      <c r="L1363" s="150"/>
      <c r="M1363" s="150"/>
      <c r="N1363" s="150"/>
      <c r="O1363" s="150"/>
      <c r="P1363" s="150"/>
      <c r="Q1363" s="150"/>
      <c r="R1363" s="150"/>
      <c r="S1363" s="150"/>
      <c r="T1363" s="186"/>
      <c r="U1363" s="186"/>
      <c r="V1363" s="186"/>
      <c r="W1363" s="186"/>
      <c r="X1363" s="186"/>
      <c r="Y1363" s="186"/>
      <c r="Z1363" s="186"/>
      <c r="AA1363" s="186"/>
      <c r="AB1363" s="186"/>
      <c r="AC1363" s="186"/>
      <c r="AD1363" s="186"/>
      <c r="AF1363" s="150"/>
      <c r="AG1363" s="150"/>
      <c r="AH1363" s="150"/>
      <c r="AI1363" s="150"/>
      <c r="AJ1363" s="150"/>
      <c r="AK1363" s="150"/>
      <c r="AL1363" s="150"/>
      <c r="AM1363" s="150"/>
      <c r="AN1363" s="150"/>
      <c r="AO1363" s="150"/>
      <c r="AP1363" s="150"/>
      <c r="AQ1363" s="150"/>
      <c r="AT1363" s="186"/>
      <c r="AU1363" s="186"/>
      <c r="AV1363" s="186"/>
      <c r="AW1363" s="186"/>
      <c r="AX1363" s="186"/>
      <c r="AY1363" s="186"/>
      <c r="AZ1363" s="186"/>
      <c r="BA1363" s="186"/>
      <c r="BB1363" s="186"/>
      <c r="BC1363" s="186"/>
      <c r="BD1363" s="186"/>
      <c r="BE1363" s="186"/>
      <c r="BF1363" s="150"/>
      <c r="BG1363" s="150"/>
    </row>
    <row r="1364" spans="3:59" ht="14.6">
      <c r="C1364" s="289"/>
      <c r="D1364" s="150"/>
      <c r="E1364" s="150"/>
      <c r="F1364" s="150"/>
      <c r="G1364" s="150"/>
      <c r="H1364" s="150"/>
      <c r="I1364" s="150"/>
      <c r="J1364" s="150"/>
      <c r="K1364" s="150"/>
      <c r="L1364" s="150"/>
      <c r="M1364" s="150"/>
      <c r="N1364" s="150"/>
      <c r="O1364" s="150"/>
      <c r="P1364" s="150"/>
      <c r="Q1364" s="150"/>
      <c r="R1364" s="150"/>
      <c r="S1364" s="150"/>
      <c r="T1364" s="186"/>
      <c r="U1364" s="186"/>
      <c r="V1364" s="186"/>
      <c r="W1364" s="186"/>
      <c r="X1364" s="186"/>
      <c r="Y1364" s="186"/>
      <c r="Z1364" s="186"/>
      <c r="AA1364" s="186"/>
      <c r="AB1364" s="186"/>
      <c r="AC1364" s="186"/>
      <c r="AD1364" s="186"/>
      <c r="AF1364" s="150"/>
      <c r="AG1364" s="150"/>
      <c r="AH1364" s="150"/>
      <c r="AI1364" s="150"/>
      <c r="AJ1364" s="150"/>
      <c r="AK1364" s="150"/>
      <c r="AL1364" s="150"/>
      <c r="AM1364" s="150"/>
      <c r="AN1364" s="150"/>
      <c r="AO1364" s="150"/>
      <c r="AP1364" s="150"/>
      <c r="AQ1364" s="150"/>
      <c r="AT1364" s="186"/>
      <c r="AU1364" s="186"/>
      <c r="AV1364" s="186"/>
      <c r="AW1364" s="186"/>
      <c r="AX1364" s="186"/>
      <c r="AY1364" s="186"/>
      <c r="AZ1364" s="186"/>
      <c r="BA1364" s="186"/>
      <c r="BB1364" s="186"/>
      <c r="BC1364" s="186"/>
      <c r="BD1364" s="186"/>
      <c r="BE1364" s="186"/>
      <c r="BF1364" s="150"/>
      <c r="BG1364" s="150"/>
    </row>
    <row r="1365" spans="3:59" ht="14.6">
      <c r="C1365" s="289"/>
      <c r="D1365" s="150"/>
      <c r="E1365" s="150"/>
      <c r="F1365" s="150"/>
      <c r="G1365" s="150"/>
      <c r="H1365" s="150"/>
      <c r="I1365" s="150"/>
      <c r="J1365" s="150"/>
      <c r="K1365" s="150"/>
      <c r="L1365" s="150"/>
      <c r="M1365" s="150"/>
      <c r="N1365" s="150"/>
      <c r="O1365" s="150"/>
      <c r="P1365" s="150"/>
      <c r="Q1365" s="150"/>
      <c r="R1365" s="150"/>
      <c r="S1365" s="150"/>
      <c r="T1365" s="186"/>
      <c r="U1365" s="186"/>
      <c r="V1365" s="186"/>
      <c r="W1365" s="186"/>
      <c r="X1365" s="186"/>
      <c r="Y1365" s="186"/>
      <c r="Z1365" s="186"/>
      <c r="AA1365" s="186"/>
      <c r="AB1365" s="186"/>
      <c r="AC1365" s="186"/>
      <c r="AD1365" s="186"/>
      <c r="AF1365" s="150"/>
      <c r="AG1365" s="150"/>
      <c r="AH1365" s="150"/>
      <c r="AI1365" s="150"/>
      <c r="AJ1365" s="150"/>
      <c r="AK1365" s="150"/>
      <c r="AL1365" s="150"/>
      <c r="AM1365" s="150"/>
      <c r="AN1365" s="150"/>
      <c r="AO1365" s="150"/>
      <c r="AP1365" s="150"/>
      <c r="AQ1365" s="150"/>
      <c r="AT1365" s="186"/>
      <c r="AU1365" s="186"/>
      <c r="AV1365" s="186"/>
      <c r="AW1365" s="186"/>
      <c r="AX1365" s="186"/>
      <c r="AY1365" s="186"/>
      <c r="AZ1365" s="186"/>
      <c r="BA1365" s="186"/>
      <c r="BB1365" s="186"/>
      <c r="BC1365" s="186"/>
      <c r="BD1365" s="186"/>
      <c r="BE1365" s="186"/>
      <c r="BF1365" s="150"/>
      <c r="BG1365" s="150"/>
    </row>
    <row r="1366" spans="3:59" ht="14.6">
      <c r="C1366" s="289"/>
      <c r="D1366" s="150"/>
      <c r="E1366" s="150"/>
      <c r="F1366" s="150"/>
      <c r="G1366" s="150"/>
      <c r="H1366" s="150"/>
      <c r="I1366" s="150"/>
      <c r="J1366" s="150"/>
      <c r="K1366" s="150"/>
      <c r="L1366" s="150"/>
      <c r="M1366" s="150"/>
      <c r="N1366" s="150"/>
      <c r="O1366" s="150"/>
      <c r="P1366" s="150"/>
      <c r="Q1366" s="150"/>
      <c r="R1366" s="150"/>
      <c r="S1366" s="150"/>
      <c r="T1366" s="186"/>
      <c r="U1366" s="186"/>
      <c r="V1366" s="186"/>
      <c r="W1366" s="186"/>
      <c r="X1366" s="186"/>
      <c r="Y1366" s="186"/>
      <c r="Z1366" s="186"/>
      <c r="AA1366" s="186"/>
      <c r="AB1366" s="186"/>
      <c r="AC1366" s="186"/>
      <c r="AD1366" s="186"/>
      <c r="AF1366" s="150"/>
      <c r="AG1366" s="150"/>
      <c r="AH1366" s="150"/>
      <c r="AI1366" s="150"/>
      <c r="AJ1366" s="150"/>
      <c r="AK1366" s="150"/>
      <c r="AL1366" s="150"/>
      <c r="AM1366" s="150"/>
      <c r="AN1366" s="150"/>
      <c r="AO1366" s="150"/>
      <c r="AP1366" s="150"/>
      <c r="AQ1366" s="150"/>
      <c r="AT1366" s="186"/>
      <c r="AU1366" s="186"/>
      <c r="AV1366" s="186"/>
      <c r="AW1366" s="186"/>
      <c r="AX1366" s="186"/>
      <c r="AY1366" s="186"/>
      <c r="AZ1366" s="186"/>
      <c r="BA1366" s="186"/>
      <c r="BB1366" s="186"/>
      <c r="BC1366" s="186"/>
      <c r="BD1366" s="186"/>
      <c r="BE1366" s="186"/>
      <c r="BF1366" s="150"/>
      <c r="BG1366" s="150"/>
    </row>
    <row r="1367" spans="3:59" ht="14.6">
      <c r="C1367" s="289"/>
      <c r="D1367" s="150"/>
      <c r="E1367" s="150"/>
      <c r="F1367" s="150"/>
      <c r="G1367" s="150"/>
      <c r="H1367" s="150"/>
      <c r="I1367" s="150"/>
      <c r="J1367" s="150"/>
      <c r="K1367" s="150"/>
      <c r="L1367" s="150"/>
      <c r="M1367" s="150"/>
      <c r="N1367" s="150"/>
      <c r="O1367" s="150"/>
      <c r="P1367" s="150"/>
      <c r="Q1367" s="150"/>
      <c r="R1367" s="150"/>
      <c r="S1367" s="150"/>
      <c r="T1367" s="186"/>
      <c r="U1367" s="186"/>
      <c r="V1367" s="186"/>
      <c r="W1367" s="186"/>
      <c r="X1367" s="186"/>
      <c r="Y1367" s="186"/>
      <c r="Z1367" s="186"/>
      <c r="AA1367" s="186"/>
      <c r="AB1367" s="186"/>
      <c r="AC1367" s="186"/>
      <c r="AD1367" s="186"/>
      <c r="AF1367" s="150"/>
      <c r="AG1367" s="150"/>
      <c r="AH1367" s="150"/>
      <c r="AI1367" s="150"/>
      <c r="AJ1367" s="150"/>
      <c r="AK1367" s="150"/>
      <c r="AL1367" s="150"/>
      <c r="AM1367" s="150"/>
      <c r="AN1367" s="150"/>
      <c r="AO1367" s="150"/>
      <c r="AP1367" s="150"/>
      <c r="AQ1367" s="150"/>
      <c r="AT1367" s="186"/>
      <c r="AU1367" s="186"/>
      <c r="AV1367" s="186"/>
      <c r="AW1367" s="186"/>
      <c r="AX1367" s="186"/>
      <c r="AY1367" s="186"/>
      <c r="AZ1367" s="186"/>
      <c r="BA1367" s="186"/>
      <c r="BB1367" s="186"/>
      <c r="BC1367" s="186"/>
      <c r="BD1367" s="186"/>
      <c r="BE1367" s="186"/>
      <c r="BF1367" s="150"/>
      <c r="BG1367" s="150"/>
    </row>
    <row r="1368" spans="3:59" ht="14.6">
      <c r="C1368" s="289"/>
      <c r="D1368" s="150"/>
      <c r="E1368" s="150"/>
      <c r="F1368" s="150"/>
      <c r="G1368" s="150"/>
      <c r="H1368" s="150"/>
      <c r="I1368" s="150"/>
      <c r="J1368" s="150"/>
      <c r="K1368" s="150"/>
      <c r="L1368" s="150"/>
      <c r="M1368" s="150"/>
      <c r="N1368" s="150"/>
      <c r="O1368" s="150"/>
      <c r="P1368" s="150"/>
      <c r="Q1368" s="150"/>
      <c r="R1368" s="150"/>
      <c r="S1368" s="150"/>
      <c r="T1368" s="186"/>
      <c r="U1368" s="186"/>
      <c r="V1368" s="186"/>
      <c r="W1368" s="186"/>
      <c r="X1368" s="186"/>
      <c r="Y1368" s="186"/>
      <c r="Z1368" s="186"/>
      <c r="AA1368" s="186"/>
      <c r="AB1368" s="186"/>
      <c r="AC1368" s="186"/>
      <c r="AD1368" s="186"/>
      <c r="AF1368" s="150"/>
      <c r="AG1368" s="150"/>
      <c r="AH1368" s="150"/>
      <c r="AI1368" s="150"/>
      <c r="AJ1368" s="150"/>
      <c r="AK1368" s="150"/>
      <c r="AL1368" s="150"/>
      <c r="AM1368" s="150"/>
      <c r="AN1368" s="150"/>
      <c r="AO1368" s="150"/>
      <c r="AP1368" s="150"/>
      <c r="AQ1368" s="150"/>
      <c r="AT1368" s="186"/>
      <c r="AU1368" s="186"/>
      <c r="AV1368" s="186"/>
      <c r="AW1368" s="186"/>
      <c r="AX1368" s="186"/>
      <c r="AY1368" s="186"/>
      <c r="AZ1368" s="186"/>
      <c r="BA1368" s="186"/>
      <c r="BB1368" s="186"/>
      <c r="BC1368" s="186"/>
      <c r="BD1368" s="186"/>
      <c r="BE1368" s="186"/>
      <c r="BF1368" s="150"/>
      <c r="BG1368" s="150"/>
    </row>
    <row r="1369" spans="3:59" ht="14.6">
      <c r="C1369" s="289"/>
      <c r="D1369" s="150"/>
      <c r="E1369" s="150"/>
      <c r="F1369" s="150"/>
      <c r="G1369" s="150"/>
      <c r="H1369" s="150"/>
      <c r="I1369" s="150"/>
      <c r="J1369" s="150"/>
      <c r="K1369" s="150"/>
      <c r="L1369" s="150"/>
      <c r="M1369" s="150"/>
      <c r="N1369" s="150"/>
      <c r="O1369" s="150"/>
      <c r="P1369" s="150"/>
      <c r="Q1369" s="150"/>
      <c r="R1369" s="150"/>
      <c r="S1369" s="150"/>
      <c r="T1369" s="186"/>
      <c r="U1369" s="186"/>
      <c r="V1369" s="186"/>
      <c r="W1369" s="186"/>
      <c r="X1369" s="186"/>
      <c r="Y1369" s="186"/>
      <c r="Z1369" s="186"/>
      <c r="AA1369" s="186"/>
      <c r="AB1369" s="186"/>
      <c r="AC1369" s="186"/>
      <c r="AD1369" s="186"/>
      <c r="AF1369" s="150"/>
      <c r="AG1369" s="150"/>
      <c r="AH1369" s="150"/>
      <c r="AI1369" s="150"/>
      <c r="AJ1369" s="150"/>
      <c r="AK1369" s="150"/>
      <c r="AL1369" s="150"/>
      <c r="AM1369" s="150"/>
      <c r="AN1369" s="150"/>
      <c r="AO1369" s="150"/>
      <c r="AP1369" s="150"/>
      <c r="AQ1369" s="150"/>
      <c r="AT1369" s="186"/>
      <c r="AU1369" s="186"/>
      <c r="AV1369" s="186"/>
      <c r="AW1369" s="186"/>
      <c r="AX1369" s="186"/>
      <c r="AY1369" s="186"/>
      <c r="AZ1369" s="186"/>
      <c r="BA1369" s="186"/>
      <c r="BB1369" s="186"/>
      <c r="BC1369" s="186"/>
      <c r="BD1369" s="186"/>
      <c r="BE1369" s="186"/>
      <c r="BF1369" s="150"/>
      <c r="BG1369" s="150"/>
    </row>
    <row r="1370" spans="3:59" ht="14.6">
      <c r="C1370" s="289"/>
      <c r="D1370" s="150"/>
      <c r="E1370" s="150"/>
      <c r="F1370" s="150"/>
      <c r="G1370" s="150"/>
      <c r="H1370" s="150"/>
      <c r="I1370" s="150"/>
      <c r="J1370" s="150"/>
      <c r="K1370" s="150"/>
      <c r="L1370" s="150"/>
      <c r="M1370" s="150"/>
      <c r="N1370" s="150"/>
      <c r="O1370" s="150"/>
      <c r="P1370" s="150"/>
      <c r="Q1370" s="150"/>
      <c r="R1370" s="150"/>
      <c r="S1370" s="150"/>
      <c r="T1370" s="186"/>
      <c r="U1370" s="186"/>
      <c r="V1370" s="186"/>
      <c r="W1370" s="186"/>
      <c r="X1370" s="186"/>
      <c r="Y1370" s="186"/>
      <c r="Z1370" s="186"/>
      <c r="AA1370" s="186"/>
      <c r="AB1370" s="186"/>
      <c r="AC1370" s="186"/>
      <c r="AD1370" s="186"/>
      <c r="AF1370" s="150"/>
      <c r="AG1370" s="150"/>
      <c r="AH1370" s="150"/>
      <c r="AI1370" s="150"/>
      <c r="AJ1370" s="150"/>
      <c r="AK1370" s="150"/>
      <c r="AL1370" s="150"/>
      <c r="AM1370" s="150"/>
      <c r="AN1370" s="150"/>
      <c r="AO1370" s="150"/>
      <c r="AP1370" s="150"/>
      <c r="AQ1370" s="150"/>
      <c r="AT1370" s="186"/>
      <c r="AU1370" s="186"/>
      <c r="AV1370" s="186"/>
      <c r="AW1370" s="186"/>
      <c r="AX1370" s="186"/>
      <c r="AY1370" s="186"/>
      <c r="AZ1370" s="186"/>
      <c r="BA1370" s="186"/>
      <c r="BB1370" s="186"/>
      <c r="BC1370" s="186"/>
      <c r="BD1370" s="186"/>
      <c r="BE1370" s="186"/>
      <c r="BF1370" s="150"/>
      <c r="BG1370" s="150"/>
    </row>
    <row r="1371" spans="3:59" ht="14.6">
      <c r="C1371" s="289"/>
      <c r="D1371" s="150"/>
      <c r="E1371" s="150"/>
      <c r="F1371" s="150"/>
      <c r="G1371" s="150"/>
      <c r="H1371" s="150"/>
      <c r="I1371" s="150"/>
      <c r="J1371" s="150"/>
      <c r="K1371" s="150"/>
      <c r="L1371" s="150"/>
      <c r="M1371" s="150"/>
      <c r="N1371" s="150"/>
      <c r="O1371" s="150"/>
      <c r="P1371" s="150"/>
      <c r="Q1371" s="150"/>
      <c r="R1371" s="150"/>
      <c r="S1371" s="150"/>
      <c r="T1371" s="186"/>
      <c r="U1371" s="186"/>
      <c r="V1371" s="186"/>
      <c r="W1371" s="186"/>
      <c r="X1371" s="186"/>
      <c r="Y1371" s="186"/>
      <c r="Z1371" s="186"/>
      <c r="AA1371" s="186"/>
      <c r="AB1371" s="186"/>
      <c r="AC1371" s="186"/>
      <c r="AD1371" s="186"/>
      <c r="AF1371" s="150"/>
      <c r="AG1371" s="150"/>
      <c r="AH1371" s="150"/>
      <c r="AI1371" s="150"/>
      <c r="AJ1371" s="150"/>
      <c r="AK1371" s="150"/>
      <c r="AL1371" s="150"/>
      <c r="AM1371" s="150"/>
      <c r="AN1371" s="150"/>
      <c r="AO1371" s="150"/>
      <c r="AP1371" s="150"/>
      <c r="AQ1371" s="150"/>
      <c r="AT1371" s="186"/>
      <c r="AU1371" s="186"/>
      <c r="AV1371" s="186"/>
      <c r="AW1371" s="186"/>
      <c r="AX1371" s="186"/>
      <c r="AY1371" s="186"/>
      <c r="AZ1371" s="186"/>
      <c r="BA1371" s="186"/>
      <c r="BB1371" s="186"/>
      <c r="BC1371" s="186"/>
      <c r="BD1371" s="186"/>
      <c r="BE1371" s="186"/>
      <c r="BF1371" s="150"/>
      <c r="BG1371" s="150"/>
    </row>
    <row r="1372" spans="3:59" ht="14.6">
      <c r="C1372" s="289"/>
      <c r="D1372" s="150"/>
      <c r="E1372" s="150"/>
      <c r="F1372" s="150"/>
      <c r="G1372" s="150"/>
      <c r="H1372" s="150"/>
      <c r="I1372" s="150"/>
      <c r="J1372" s="150"/>
      <c r="K1372" s="150"/>
      <c r="L1372" s="150"/>
      <c r="M1372" s="150"/>
      <c r="N1372" s="150"/>
      <c r="O1372" s="150"/>
      <c r="P1372" s="150"/>
      <c r="Q1372" s="150"/>
      <c r="R1372" s="150"/>
      <c r="S1372" s="150"/>
      <c r="T1372" s="186"/>
      <c r="U1372" s="186"/>
      <c r="V1372" s="186"/>
      <c r="W1372" s="186"/>
      <c r="X1372" s="186"/>
      <c r="Y1372" s="186"/>
      <c r="Z1372" s="186"/>
      <c r="AA1372" s="186"/>
      <c r="AB1372" s="186"/>
      <c r="AC1372" s="186"/>
      <c r="AD1372" s="186"/>
      <c r="AF1372" s="150"/>
      <c r="AG1372" s="150"/>
      <c r="AH1372" s="150"/>
      <c r="AI1372" s="150"/>
      <c r="AJ1372" s="150"/>
      <c r="AK1372" s="150"/>
      <c r="AL1372" s="150"/>
      <c r="AM1372" s="150"/>
      <c r="AN1372" s="150"/>
      <c r="AO1372" s="150"/>
      <c r="AP1372" s="150"/>
      <c r="AQ1372" s="150"/>
      <c r="AT1372" s="186"/>
      <c r="AU1372" s="186"/>
      <c r="AV1372" s="186"/>
      <c r="AW1372" s="186"/>
      <c r="AX1372" s="186"/>
      <c r="AY1372" s="186"/>
      <c r="AZ1372" s="186"/>
      <c r="BA1372" s="186"/>
      <c r="BB1372" s="186"/>
      <c r="BC1372" s="186"/>
      <c r="BD1372" s="186"/>
      <c r="BE1372" s="186"/>
      <c r="BF1372" s="150"/>
      <c r="BG1372" s="150"/>
    </row>
    <row r="1373" spans="3:59" ht="14.6">
      <c r="C1373" s="289"/>
      <c r="D1373" s="150"/>
      <c r="E1373" s="150"/>
      <c r="F1373" s="150"/>
      <c r="G1373" s="150"/>
      <c r="H1373" s="150"/>
      <c r="I1373" s="150"/>
      <c r="J1373" s="150"/>
      <c r="K1373" s="150"/>
      <c r="L1373" s="150"/>
      <c r="M1373" s="150"/>
      <c r="N1373" s="150"/>
      <c r="O1373" s="150"/>
      <c r="P1373" s="150"/>
      <c r="Q1373" s="150"/>
      <c r="R1373" s="150"/>
      <c r="S1373" s="150"/>
      <c r="T1373" s="186"/>
      <c r="U1373" s="186"/>
      <c r="V1373" s="186"/>
      <c r="W1373" s="186"/>
      <c r="X1373" s="186"/>
      <c r="Y1373" s="186"/>
      <c r="Z1373" s="186"/>
      <c r="AA1373" s="186"/>
      <c r="AB1373" s="186"/>
      <c r="AC1373" s="186"/>
      <c r="AD1373" s="186"/>
      <c r="AF1373" s="150"/>
      <c r="AG1373" s="150"/>
      <c r="AH1373" s="150"/>
      <c r="AI1373" s="150"/>
      <c r="AJ1373" s="150"/>
      <c r="AK1373" s="150"/>
      <c r="AL1373" s="150"/>
      <c r="AM1373" s="150"/>
      <c r="AN1373" s="150"/>
      <c r="AO1373" s="150"/>
      <c r="AP1373" s="150"/>
      <c r="AQ1373" s="150"/>
      <c r="AT1373" s="186"/>
      <c r="AU1373" s="186"/>
      <c r="AV1373" s="186"/>
      <c r="AW1373" s="186"/>
      <c r="AX1373" s="186"/>
      <c r="AY1373" s="186"/>
      <c r="AZ1373" s="186"/>
      <c r="BA1373" s="186"/>
      <c r="BB1373" s="186"/>
      <c r="BC1373" s="186"/>
      <c r="BD1373" s="186"/>
      <c r="BE1373" s="186"/>
      <c r="BF1373" s="150"/>
      <c r="BG1373" s="150"/>
    </row>
    <row r="1374" spans="3:59" ht="14.6">
      <c r="C1374" s="289"/>
      <c r="D1374" s="150"/>
      <c r="E1374" s="150"/>
      <c r="F1374" s="150"/>
      <c r="G1374" s="150"/>
      <c r="H1374" s="150"/>
      <c r="I1374" s="150"/>
      <c r="J1374" s="150"/>
      <c r="K1374" s="150"/>
      <c r="L1374" s="150"/>
      <c r="M1374" s="150"/>
      <c r="N1374" s="150"/>
      <c r="O1374" s="150"/>
      <c r="P1374" s="150"/>
      <c r="Q1374" s="150"/>
      <c r="R1374" s="150"/>
      <c r="S1374" s="150"/>
      <c r="T1374" s="186"/>
      <c r="U1374" s="186"/>
      <c r="V1374" s="186"/>
      <c r="W1374" s="186"/>
      <c r="X1374" s="186"/>
      <c r="Y1374" s="186"/>
      <c r="Z1374" s="186"/>
      <c r="AA1374" s="186"/>
      <c r="AB1374" s="186"/>
      <c r="AC1374" s="186"/>
      <c r="AD1374" s="186"/>
      <c r="AF1374" s="150"/>
      <c r="AG1374" s="150"/>
      <c r="AH1374" s="150"/>
      <c r="AI1374" s="150"/>
      <c r="AJ1374" s="150"/>
      <c r="AK1374" s="150"/>
      <c r="AL1374" s="150"/>
      <c r="AM1374" s="150"/>
      <c r="AN1374" s="150"/>
      <c r="AO1374" s="150"/>
      <c r="AP1374" s="150"/>
      <c r="AQ1374" s="150"/>
      <c r="AT1374" s="186"/>
      <c r="AU1374" s="186"/>
      <c r="AV1374" s="186"/>
      <c r="AW1374" s="186"/>
      <c r="AX1374" s="186"/>
      <c r="AY1374" s="186"/>
      <c r="AZ1374" s="186"/>
      <c r="BA1374" s="186"/>
      <c r="BB1374" s="186"/>
      <c r="BC1374" s="186"/>
      <c r="BD1374" s="186"/>
      <c r="BE1374" s="186"/>
      <c r="BF1374" s="150"/>
      <c r="BG1374" s="150"/>
    </row>
    <row r="1375" spans="3:59" ht="14.6">
      <c r="C1375" s="289"/>
      <c r="D1375" s="150"/>
      <c r="E1375" s="150"/>
      <c r="F1375" s="150"/>
      <c r="G1375" s="150"/>
      <c r="H1375" s="150"/>
      <c r="I1375" s="150"/>
      <c r="J1375" s="150"/>
      <c r="K1375" s="150"/>
      <c r="L1375" s="150"/>
      <c r="M1375" s="150"/>
      <c r="N1375" s="150"/>
      <c r="O1375" s="150"/>
      <c r="P1375" s="150"/>
      <c r="Q1375" s="150"/>
      <c r="R1375" s="150"/>
      <c r="S1375" s="150"/>
      <c r="T1375" s="186"/>
      <c r="U1375" s="186"/>
      <c r="V1375" s="186"/>
      <c r="W1375" s="186"/>
      <c r="X1375" s="186"/>
      <c r="Y1375" s="186"/>
      <c r="Z1375" s="186"/>
      <c r="AA1375" s="186"/>
      <c r="AB1375" s="186"/>
      <c r="AC1375" s="186"/>
      <c r="AD1375" s="186"/>
      <c r="AF1375" s="150"/>
      <c r="AG1375" s="150"/>
      <c r="AH1375" s="150"/>
      <c r="AI1375" s="150"/>
      <c r="AJ1375" s="150"/>
      <c r="AK1375" s="150"/>
      <c r="AL1375" s="150"/>
      <c r="AM1375" s="150"/>
      <c r="AN1375" s="150"/>
      <c r="AO1375" s="150"/>
      <c r="AP1375" s="150"/>
      <c r="AQ1375" s="150"/>
      <c r="AT1375" s="186"/>
      <c r="AU1375" s="186"/>
      <c r="AV1375" s="186"/>
      <c r="AW1375" s="186"/>
      <c r="AX1375" s="186"/>
      <c r="AY1375" s="186"/>
      <c r="AZ1375" s="186"/>
      <c r="BA1375" s="186"/>
      <c r="BB1375" s="186"/>
      <c r="BC1375" s="186"/>
      <c r="BD1375" s="186"/>
      <c r="BE1375" s="186"/>
      <c r="BF1375" s="150"/>
      <c r="BG1375" s="150"/>
    </row>
    <row r="1376" spans="3:59" ht="14.6">
      <c r="C1376" s="289"/>
      <c r="D1376" s="150"/>
      <c r="E1376" s="150"/>
      <c r="F1376" s="150"/>
      <c r="G1376" s="150"/>
      <c r="H1376" s="150"/>
      <c r="I1376" s="150"/>
      <c r="J1376" s="150"/>
      <c r="K1376" s="150"/>
      <c r="L1376" s="150"/>
      <c r="M1376" s="150"/>
      <c r="N1376" s="150"/>
      <c r="O1376" s="150"/>
      <c r="P1376" s="150"/>
      <c r="Q1376" s="150"/>
      <c r="R1376" s="150"/>
      <c r="S1376" s="150"/>
      <c r="T1376" s="186"/>
      <c r="U1376" s="186"/>
      <c r="V1376" s="186"/>
      <c r="W1376" s="186"/>
      <c r="X1376" s="186"/>
      <c r="Y1376" s="186"/>
      <c r="Z1376" s="186"/>
      <c r="AA1376" s="186"/>
      <c r="AB1376" s="186"/>
      <c r="AC1376" s="186"/>
      <c r="AD1376" s="186"/>
      <c r="AF1376" s="150"/>
      <c r="AG1376" s="150"/>
      <c r="AH1376" s="150"/>
      <c r="AI1376" s="150"/>
      <c r="AJ1376" s="150"/>
      <c r="AK1376" s="150"/>
      <c r="AL1376" s="150"/>
      <c r="AM1376" s="150"/>
      <c r="AN1376" s="150"/>
      <c r="AO1376" s="150"/>
      <c r="AP1376" s="150"/>
      <c r="AQ1376" s="150"/>
      <c r="AT1376" s="186"/>
      <c r="AU1376" s="186"/>
      <c r="AV1376" s="186"/>
      <c r="AW1376" s="186"/>
      <c r="AX1376" s="186"/>
      <c r="AY1376" s="186"/>
      <c r="AZ1376" s="186"/>
      <c r="BA1376" s="186"/>
      <c r="BB1376" s="186"/>
      <c r="BC1376" s="186"/>
      <c r="BD1376" s="186"/>
      <c r="BE1376" s="186"/>
      <c r="BF1376" s="150"/>
      <c r="BG1376" s="150"/>
    </row>
    <row r="1377" spans="3:59" ht="14.6">
      <c r="C1377" s="289"/>
      <c r="D1377" s="150"/>
      <c r="E1377" s="150"/>
      <c r="F1377" s="150"/>
      <c r="G1377" s="150"/>
      <c r="H1377" s="150"/>
      <c r="I1377" s="150"/>
      <c r="J1377" s="150"/>
      <c r="K1377" s="150"/>
      <c r="L1377" s="150"/>
      <c r="M1377" s="150"/>
      <c r="N1377" s="150"/>
      <c r="O1377" s="150"/>
      <c r="P1377" s="150"/>
      <c r="Q1377" s="150"/>
      <c r="R1377" s="150"/>
      <c r="S1377" s="150"/>
      <c r="T1377" s="186"/>
      <c r="U1377" s="186"/>
      <c r="V1377" s="186"/>
      <c r="W1377" s="186"/>
      <c r="X1377" s="186"/>
      <c r="Y1377" s="186"/>
      <c r="Z1377" s="186"/>
      <c r="AA1377" s="186"/>
      <c r="AB1377" s="186"/>
      <c r="AC1377" s="186"/>
      <c r="AD1377" s="186"/>
      <c r="AF1377" s="150"/>
      <c r="AG1377" s="150"/>
      <c r="AH1377" s="150"/>
      <c r="AI1377" s="150"/>
      <c r="AJ1377" s="150"/>
      <c r="AK1377" s="150"/>
      <c r="AL1377" s="150"/>
      <c r="AM1377" s="150"/>
      <c r="AN1377" s="150"/>
      <c r="AO1377" s="150"/>
      <c r="AP1377" s="150"/>
      <c r="AQ1377" s="150"/>
      <c r="AT1377" s="186"/>
      <c r="AU1377" s="186"/>
      <c r="AV1377" s="186"/>
      <c r="AW1377" s="186"/>
      <c r="AX1377" s="186"/>
      <c r="AY1377" s="186"/>
      <c r="AZ1377" s="186"/>
      <c r="BA1377" s="186"/>
      <c r="BB1377" s="186"/>
      <c r="BC1377" s="186"/>
      <c r="BD1377" s="186"/>
      <c r="BE1377" s="186"/>
      <c r="BF1377" s="150"/>
      <c r="BG1377" s="150"/>
    </row>
    <row r="1378" spans="3:59" ht="14.6">
      <c r="C1378" s="289"/>
      <c r="D1378" s="150"/>
      <c r="E1378" s="150"/>
      <c r="F1378" s="150"/>
      <c r="G1378" s="150"/>
      <c r="H1378" s="150"/>
      <c r="I1378" s="150"/>
      <c r="J1378" s="150"/>
      <c r="K1378" s="150"/>
      <c r="L1378" s="150"/>
      <c r="M1378" s="150"/>
      <c r="N1378" s="150"/>
      <c r="O1378" s="150"/>
      <c r="P1378" s="150"/>
      <c r="Q1378" s="150"/>
      <c r="R1378" s="150"/>
      <c r="S1378" s="150"/>
      <c r="T1378" s="186"/>
      <c r="U1378" s="186"/>
      <c r="V1378" s="186"/>
      <c r="W1378" s="186"/>
      <c r="X1378" s="186"/>
      <c r="Y1378" s="186"/>
      <c r="Z1378" s="186"/>
      <c r="AA1378" s="186"/>
      <c r="AB1378" s="186"/>
      <c r="AC1378" s="186"/>
      <c r="AD1378" s="186"/>
      <c r="AF1378" s="150"/>
      <c r="AG1378" s="150"/>
      <c r="AH1378" s="150"/>
      <c r="AI1378" s="150"/>
      <c r="AJ1378" s="150"/>
      <c r="AK1378" s="150"/>
      <c r="AL1378" s="150"/>
      <c r="AM1378" s="150"/>
      <c r="AN1378" s="150"/>
      <c r="AO1378" s="150"/>
      <c r="AP1378" s="150"/>
      <c r="AQ1378" s="150"/>
      <c r="AT1378" s="186"/>
      <c r="AU1378" s="186"/>
      <c r="AV1378" s="186"/>
      <c r="AW1378" s="186"/>
      <c r="AX1378" s="186"/>
      <c r="AY1378" s="186"/>
      <c r="AZ1378" s="186"/>
      <c r="BA1378" s="186"/>
      <c r="BB1378" s="186"/>
      <c r="BC1378" s="186"/>
      <c r="BD1378" s="186"/>
      <c r="BE1378" s="186"/>
      <c r="BF1378" s="150"/>
      <c r="BG1378" s="150"/>
    </row>
    <row r="1379" spans="3:59" ht="14.6">
      <c r="C1379" s="289"/>
      <c r="D1379" s="150"/>
      <c r="E1379" s="150"/>
      <c r="F1379" s="150"/>
      <c r="G1379" s="150"/>
      <c r="H1379" s="150"/>
      <c r="I1379" s="150"/>
      <c r="J1379" s="150"/>
      <c r="K1379" s="150"/>
      <c r="L1379" s="150"/>
      <c r="M1379" s="150"/>
      <c r="N1379" s="150"/>
      <c r="O1379" s="150"/>
      <c r="P1379" s="150"/>
      <c r="Q1379" s="150"/>
      <c r="R1379" s="150"/>
      <c r="S1379" s="150"/>
      <c r="T1379" s="186"/>
      <c r="U1379" s="186"/>
      <c r="V1379" s="186"/>
      <c r="W1379" s="186"/>
      <c r="X1379" s="186"/>
      <c r="Y1379" s="186"/>
      <c r="Z1379" s="186"/>
      <c r="AA1379" s="186"/>
      <c r="AB1379" s="186"/>
      <c r="AC1379" s="186"/>
      <c r="AD1379" s="186"/>
      <c r="AF1379" s="150"/>
      <c r="AG1379" s="150"/>
      <c r="AH1379" s="150"/>
      <c r="AI1379" s="150"/>
      <c r="AJ1379" s="150"/>
      <c r="AK1379" s="150"/>
      <c r="AL1379" s="150"/>
      <c r="AM1379" s="150"/>
      <c r="AN1379" s="150"/>
      <c r="AO1379" s="150"/>
      <c r="AP1379" s="150"/>
      <c r="AQ1379" s="150"/>
      <c r="AT1379" s="186"/>
      <c r="AU1379" s="186"/>
      <c r="AV1379" s="186"/>
      <c r="AW1379" s="186"/>
      <c r="AX1379" s="186"/>
      <c r="AY1379" s="186"/>
      <c r="AZ1379" s="186"/>
      <c r="BA1379" s="186"/>
      <c r="BB1379" s="186"/>
      <c r="BC1379" s="186"/>
      <c r="BD1379" s="186"/>
      <c r="BE1379" s="186"/>
      <c r="BF1379" s="150"/>
      <c r="BG1379" s="150"/>
    </row>
    <row r="1380" spans="3:59" ht="14.6">
      <c r="C1380" s="289"/>
      <c r="D1380" s="150"/>
      <c r="E1380" s="150"/>
      <c r="F1380" s="150"/>
      <c r="G1380" s="150"/>
      <c r="H1380" s="150"/>
      <c r="I1380" s="150"/>
      <c r="J1380" s="150"/>
      <c r="K1380" s="150"/>
      <c r="L1380" s="150"/>
      <c r="M1380" s="150"/>
      <c r="N1380" s="150"/>
      <c r="O1380" s="150"/>
      <c r="P1380" s="150"/>
      <c r="Q1380" s="150"/>
      <c r="R1380" s="150"/>
      <c r="S1380" s="150"/>
      <c r="T1380" s="186"/>
      <c r="U1380" s="186"/>
      <c r="V1380" s="186"/>
      <c r="W1380" s="186"/>
      <c r="X1380" s="186"/>
      <c r="Y1380" s="186"/>
      <c r="Z1380" s="186"/>
      <c r="AA1380" s="186"/>
      <c r="AB1380" s="186"/>
      <c r="AC1380" s="186"/>
      <c r="AD1380" s="186"/>
      <c r="AF1380" s="150"/>
      <c r="AG1380" s="150"/>
      <c r="AH1380" s="150"/>
      <c r="AI1380" s="150"/>
      <c r="AJ1380" s="150"/>
      <c r="AK1380" s="150"/>
      <c r="AL1380" s="150"/>
      <c r="AM1380" s="150"/>
      <c r="AN1380" s="150"/>
      <c r="AO1380" s="150"/>
      <c r="AP1380" s="150"/>
      <c r="AQ1380" s="150"/>
      <c r="AT1380" s="186"/>
      <c r="AU1380" s="186"/>
      <c r="AV1380" s="186"/>
      <c r="AW1380" s="186"/>
      <c r="AX1380" s="186"/>
      <c r="AY1380" s="186"/>
      <c r="AZ1380" s="186"/>
      <c r="BA1380" s="186"/>
      <c r="BB1380" s="186"/>
      <c r="BC1380" s="186"/>
      <c r="BD1380" s="186"/>
      <c r="BE1380" s="186"/>
      <c r="BF1380" s="150"/>
      <c r="BG1380" s="150"/>
    </row>
    <row r="1381" spans="3:59" ht="14.6">
      <c r="C1381" s="289"/>
      <c r="D1381" s="150"/>
      <c r="E1381" s="150"/>
      <c r="F1381" s="150"/>
      <c r="G1381" s="150"/>
      <c r="H1381" s="150"/>
      <c r="I1381" s="150"/>
      <c r="J1381" s="150"/>
      <c r="K1381" s="150"/>
      <c r="L1381" s="150"/>
      <c r="M1381" s="150"/>
      <c r="N1381" s="150"/>
      <c r="O1381" s="150"/>
      <c r="P1381" s="150"/>
      <c r="Q1381" s="150"/>
      <c r="R1381" s="150"/>
      <c r="S1381" s="150"/>
      <c r="T1381" s="186"/>
      <c r="U1381" s="186"/>
      <c r="V1381" s="186"/>
      <c r="W1381" s="186"/>
      <c r="X1381" s="186"/>
      <c r="Y1381" s="186"/>
      <c r="Z1381" s="186"/>
      <c r="AA1381" s="186"/>
      <c r="AB1381" s="186"/>
      <c r="AC1381" s="186"/>
      <c r="AD1381" s="186"/>
      <c r="AF1381" s="150"/>
      <c r="AG1381" s="150"/>
      <c r="AH1381" s="150"/>
      <c r="AI1381" s="150"/>
      <c r="AJ1381" s="150"/>
      <c r="AK1381" s="150"/>
      <c r="AL1381" s="150"/>
      <c r="AM1381" s="150"/>
      <c r="AN1381" s="150"/>
      <c r="AO1381" s="150"/>
      <c r="AP1381" s="150"/>
      <c r="AQ1381" s="150"/>
      <c r="AT1381" s="186"/>
      <c r="AU1381" s="186"/>
      <c r="AV1381" s="186"/>
      <c r="AW1381" s="186"/>
      <c r="AX1381" s="186"/>
      <c r="AY1381" s="186"/>
      <c r="AZ1381" s="186"/>
      <c r="BA1381" s="186"/>
      <c r="BB1381" s="186"/>
      <c r="BC1381" s="186"/>
      <c r="BD1381" s="186"/>
      <c r="BE1381" s="186"/>
      <c r="BF1381" s="150"/>
      <c r="BG1381" s="150"/>
    </row>
    <row r="1382" spans="3:59" ht="14.6">
      <c r="C1382" s="289"/>
      <c r="D1382" s="150"/>
      <c r="E1382" s="150"/>
      <c r="F1382" s="150"/>
      <c r="G1382" s="150"/>
      <c r="H1382" s="150"/>
      <c r="I1382" s="150"/>
      <c r="J1382" s="150"/>
      <c r="K1382" s="150"/>
      <c r="L1382" s="150"/>
      <c r="M1382" s="150"/>
      <c r="N1382" s="150"/>
      <c r="O1382" s="150"/>
      <c r="P1382" s="150"/>
      <c r="Q1382" s="150"/>
      <c r="R1382" s="150"/>
      <c r="S1382" s="150"/>
      <c r="T1382" s="186"/>
      <c r="U1382" s="186"/>
      <c r="V1382" s="186"/>
      <c r="W1382" s="186"/>
      <c r="X1382" s="186"/>
      <c r="Y1382" s="186"/>
      <c r="Z1382" s="186"/>
      <c r="AA1382" s="186"/>
      <c r="AB1382" s="186"/>
      <c r="AC1382" s="186"/>
      <c r="AD1382" s="186"/>
      <c r="AF1382" s="150"/>
      <c r="AG1382" s="150"/>
      <c r="AH1382" s="150"/>
      <c r="AI1382" s="150"/>
      <c r="AJ1382" s="150"/>
      <c r="AK1382" s="150"/>
      <c r="AL1382" s="150"/>
      <c r="AM1382" s="150"/>
      <c r="AN1382" s="150"/>
      <c r="AO1382" s="150"/>
      <c r="AP1382" s="150"/>
      <c r="AQ1382" s="150"/>
      <c r="AT1382" s="186"/>
      <c r="AU1382" s="186"/>
      <c r="AV1382" s="186"/>
      <c r="AW1382" s="186"/>
      <c r="AX1382" s="186"/>
      <c r="AY1382" s="186"/>
      <c r="AZ1382" s="186"/>
      <c r="BA1382" s="186"/>
      <c r="BB1382" s="186"/>
      <c r="BC1382" s="186"/>
      <c r="BD1382" s="186"/>
      <c r="BE1382" s="186"/>
      <c r="BF1382" s="150"/>
      <c r="BG1382" s="150"/>
    </row>
    <row r="1383" spans="3:59" ht="14.6">
      <c r="C1383" s="289"/>
      <c r="D1383" s="150"/>
      <c r="E1383" s="150"/>
      <c r="F1383" s="150"/>
      <c r="G1383" s="150"/>
      <c r="H1383" s="150"/>
      <c r="I1383" s="150"/>
      <c r="J1383" s="150"/>
      <c r="K1383" s="150"/>
      <c r="L1383" s="150"/>
      <c r="M1383" s="150"/>
      <c r="N1383" s="150"/>
      <c r="O1383" s="150"/>
      <c r="P1383" s="150"/>
      <c r="Q1383" s="150"/>
      <c r="R1383" s="150"/>
      <c r="S1383" s="150"/>
      <c r="T1383" s="186"/>
      <c r="U1383" s="186"/>
      <c r="V1383" s="186"/>
      <c r="W1383" s="186"/>
      <c r="X1383" s="186"/>
      <c r="Y1383" s="186"/>
      <c r="Z1383" s="186"/>
      <c r="AA1383" s="186"/>
      <c r="AB1383" s="186"/>
      <c r="AC1383" s="186"/>
      <c r="AD1383" s="186"/>
      <c r="AF1383" s="150"/>
      <c r="AG1383" s="150"/>
      <c r="AH1383" s="150"/>
      <c r="AI1383" s="150"/>
      <c r="AJ1383" s="150"/>
      <c r="AK1383" s="150"/>
      <c r="AL1383" s="150"/>
      <c r="AM1383" s="150"/>
      <c r="AN1383" s="150"/>
      <c r="AO1383" s="150"/>
      <c r="AP1383" s="150"/>
      <c r="AQ1383" s="150"/>
      <c r="AT1383" s="186"/>
      <c r="AU1383" s="186"/>
      <c r="AV1383" s="186"/>
      <c r="AW1383" s="186"/>
      <c r="AX1383" s="186"/>
      <c r="AY1383" s="186"/>
      <c r="AZ1383" s="186"/>
      <c r="BA1383" s="186"/>
      <c r="BB1383" s="186"/>
      <c r="BC1383" s="186"/>
      <c r="BD1383" s="186"/>
      <c r="BE1383" s="186"/>
      <c r="BF1383" s="150"/>
      <c r="BG1383" s="150"/>
    </row>
    <row r="1384" spans="3:59" ht="14.6">
      <c r="C1384" s="289"/>
      <c r="D1384" s="150"/>
      <c r="E1384" s="150"/>
      <c r="F1384" s="150"/>
      <c r="G1384" s="150"/>
      <c r="H1384" s="150"/>
      <c r="I1384" s="150"/>
      <c r="J1384" s="150"/>
      <c r="K1384" s="150"/>
      <c r="L1384" s="150"/>
      <c r="M1384" s="150"/>
      <c r="N1384" s="150"/>
      <c r="O1384" s="150"/>
      <c r="P1384" s="150"/>
      <c r="Q1384" s="150"/>
      <c r="R1384" s="150"/>
      <c r="S1384" s="150"/>
      <c r="T1384" s="186"/>
      <c r="U1384" s="186"/>
      <c r="V1384" s="186"/>
      <c r="W1384" s="186"/>
      <c r="X1384" s="186"/>
      <c r="Y1384" s="186"/>
      <c r="Z1384" s="186"/>
      <c r="AA1384" s="186"/>
      <c r="AB1384" s="186"/>
      <c r="AC1384" s="186"/>
      <c r="AD1384" s="186"/>
      <c r="AF1384" s="150"/>
      <c r="AG1384" s="150"/>
      <c r="AH1384" s="150"/>
      <c r="AI1384" s="150"/>
      <c r="AJ1384" s="150"/>
      <c r="AK1384" s="150"/>
      <c r="AL1384" s="150"/>
      <c r="AM1384" s="150"/>
      <c r="AN1384" s="150"/>
      <c r="AO1384" s="150"/>
      <c r="AP1384" s="150"/>
      <c r="AQ1384" s="150"/>
      <c r="AT1384" s="186"/>
      <c r="AU1384" s="186"/>
      <c r="AV1384" s="186"/>
      <c r="AW1384" s="186"/>
      <c r="AX1384" s="186"/>
      <c r="AY1384" s="186"/>
      <c r="AZ1384" s="186"/>
      <c r="BA1384" s="186"/>
      <c r="BB1384" s="186"/>
      <c r="BC1384" s="186"/>
      <c r="BD1384" s="186"/>
      <c r="BE1384" s="186"/>
      <c r="BF1384" s="150"/>
      <c r="BG1384" s="150"/>
    </row>
    <row r="1385" spans="3:59" customFormat="1" ht="11.15"/>
    <row r="1386" spans="3:59" customFormat="1" ht="11.15"/>
    <row r="1387" spans="3:59" customFormat="1" ht="11.15"/>
    <row r="1388" spans="3:59" customFormat="1" ht="11.15"/>
    <row r="1389" spans="3:59" customFormat="1" ht="11.15"/>
    <row r="1390" spans="3:59" customFormat="1" ht="11.15"/>
    <row r="1391" spans="3:59" customFormat="1" ht="11.15"/>
    <row r="1392" spans="3:59" customFormat="1" ht="11.15"/>
    <row r="1393" customFormat="1" ht="11.15"/>
    <row r="1394" customFormat="1" ht="11.15"/>
    <row r="1395" customFormat="1" ht="11.15"/>
    <row r="1396" customFormat="1" ht="11.15"/>
    <row r="1397" customFormat="1" ht="11.15"/>
    <row r="1398" customFormat="1" ht="11.15"/>
    <row r="1399" customFormat="1" ht="11.15"/>
    <row r="1400" customFormat="1" ht="11.15"/>
    <row r="1401" customFormat="1" ht="11.15"/>
    <row r="1402" customFormat="1" ht="11.15"/>
    <row r="1403" customFormat="1" ht="11.15"/>
    <row r="1404" customFormat="1" ht="11.15"/>
    <row r="1405" customFormat="1" ht="11.15"/>
    <row r="1406" customFormat="1" ht="11.15"/>
    <row r="1407" customFormat="1" ht="11.15"/>
    <row r="1408" customFormat="1" ht="11.15"/>
    <row r="1409" customFormat="1" ht="11.15"/>
    <row r="1410" customFormat="1" ht="11.15"/>
    <row r="1411" customFormat="1" ht="11.15"/>
    <row r="1412" customFormat="1" ht="11.15"/>
    <row r="1413" customFormat="1" ht="11.15"/>
    <row r="1414" customFormat="1" ht="11.15"/>
    <row r="1415" customFormat="1" ht="11.15"/>
    <row r="1416" customFormat="1" ht="11.15"/>
    <row r="1417" customFormat="1" ht="11.15"/>
    <row r="1418" customFormat="1" ht="11.15"/>
    <row r="1419" customFormat="1" ht="11.15"/>
    <row r="1420" customFormat="1" ht="11.15"/>
    <row r="1421" customFormat="1" ht="11.15"/>
    <row r="1422" customFormat="1" ht="11.15"/>
    <row r="1423" customFormat="1" ht="11.15"/>
    <row r="1424" customFormat="1" ht="11.15"/>
    <row r="1425" customFormat="1" ht="11.15"/>
    <row r="1426" customFormat="1" ht="11.15"/>
    <row r="1427" customFormat="1" ht="11.15"/>
    <row r="1428" customFormat="1" ht="11.15"/>
    <row r="1429" customFormat="1" ht="11.15"/>
    <row r="1430" customFormat="1" ht="11.15"/>
    <row r="1431" customFormat="1" ht="11.15"/>
    <row r="1432" customFormat="1" ht="11.15"/>
    <row r="1433" customFormat="1" ht="11.15"/>
    <row r="1434" customFormat="1" ht="11.15"/>
    <row r="1435" customFormat="1" ht="11.15"/>
    <row r="1436" customFormat="1" ht="11.15"/>
    <row r="1437" customFormat="1" ht="11.15"/>
    <row r="1438" customFormat="1" ht="11.15"/>
    <row r="1439" customFormat="1" ht="11.15"/>
    <row r="1440" customFormat="1" ht="11.15"/>
    <row r="1441" customFormat="1" ht="11.15"/>
    <row r="1442" customFormat="1" ht="11.15"/>
    <row r="1443" customFormat="1" ht="11.15"/>
    <row r="1444" customFormat="1" ht="11.15"/>
    <row r="1445" customFormat="1" ht="11.15"/>
    <row r="1446" customFormat="1" ht="11.15"/>
    <row r="1447" customFormat="1" ht="11.15"/>
    <row r="1448" customFormat="1" ht="11.15"/>
    <row r="1449" customFormat="1" ht="11.15"/>
    <row r="1450" customFormat="1" ht="11.15"/>
    <row r="1451" customFormat="1" ht="11.15"/>
    <row r="1452" customFormat="1" ht="11.15"/>
    <row r="1453" customFormat="1" ht="11.15"/>
    <row r="1454" customFormat="1" ht="11.15"/>
    <row r="1455" customFormat="1" ht="11.15"/>
    <row r="1456" customFormat="1" ht="11.15"/>
    <row r="1457" customFormat="1" ht="11.15"/>
    <row r="1458" customFormat="1" ht="11.15"/>
    <row r="1459" customFormat="1" ht="11.15"/>
    <row r="1460" customFormat="1" ht="11.15"/>
    <row r="1461" customFormat="1" ht="11.15"/>
    <row r="1462" customFormat="1" ht="11.15"/>
    <row r="1463" customFormat="1" ht="11.15"/>
    <row r="1464" customFormat="1" ht="11.15"/>
    <row r="1465" customFormat="1" ht="11.15"/>
    <row r="1466" customFormat="1" ht="11.15"/>
    <row r="1467" customFormat="1" ht="11.15"/>
    <row r="1468" customFormat="1" ht="11.15"/>
    <row r="1469" customFormat="1" ht="11.15"/>
    <row r="1470" customFormat="1" ht="11.15"/>
    <row r="1471" customFormat="1" ht="11.15"/>
    <row r="1472" customFormat="1" ht="11.15"/>
    <row r="1473" customFormat="1" ht="11.15"/>
    <row r="1474" customFormat="1" ht="11.15"/>
    <row r="1475" customFormat="1" ht="11.15"/>
    <row r="1476" customFormat="1" ht="11.15"/>
    <row r="1477" customFormat="1" ht="11.15"/>
    <row r="1478" customFormat="1" ht="11.15"/>
    <row r="1479" customFormat="1" ht="11.15"/>
    <row r="1480" customFormat="1" ht="11.15"/>
    <row r="1481" customFormat="1" ht="11.15"/>
    <row r="1482" customFormat="1" ht="11.15"/>
    <row r="1483" customFormat="1" ht="11.15"/>
    <row r="1484" customFormat="1" ht="11.15"/>
    <row r="1485" customFormat="1" ht="11.15"/>
    <row r="1486" customFormat="1" ht="11.15"/>
    <row r="1487" customFormat="1" ht="11.15"/>
    <row r="1488" customFormat="1" ht="11.15"/>
    <row r="1489" customFormat="1" ht="11.15"/>
    <row r="1490" customFormat="1" ht="11.15"/>
    <row r="1491" customFormat="1" ht="11.15"/>
    <row r="1492" customFormat="1" ht="11.15"/>
    <row r="1493" customFormat="1" ht="11.15"/>
    <row r="1494" customFormat="1" ht="11.15"/>
    <row r="1495" customFormat="1" ht="11.15"/>
    <row r="1496" customFormat="1" ht="11.15"/>
    <row r="1497" customFormat="1" ht="11.15"/>
    <row r="1498" customFormat="1" ht="11.15"/>
    <row r="1499" customFormat="1" ht="11.15"/>
    <row r="1500" customFormat="1" ht="11.15"/>
    <row r="1501" customFormat="1" ht="11.15"/>
    <row r="1502" customFormat="1" ht="11.15"/>
    <row r="1503" customFormat="1" ht="11.15"/>
    <row r="1504" customFormat="1" ht="11.15"/>
    <row r="1505" customFormat="1" ht="11.15"/>
    <row r="1506" customFormat="1" ht="11.15"/>
    <row r="1507" customFormat="1" ht="11.15"/>
    <row r="1508" customFormat="1" ht="11.15"/>
    <row r="1509" customFormat="1" ht="11.15"/>
    <row r="1510" customFormat="1" ht="11.15"/>
    <row r="1511" customFormat="1" ht="11.15"/>
    <row r="1512" customFormat="1" ht="11.15"/>
    <row r="1513" customFormat="1" ht="11.15"/>
    <row r="1514" customFormat="1" ht="11.15"/>
    <row r="1515" customFormat="1" ht="11.15"/>
    <row r="1516" customFormat="1" ht="11.15"/>
    <row r="1517" customFormat="1" ht="11.15"/>
    <row r="1518" customFormat="1" ht="11.15"/>
    <row r="1519" customFormat="1" ht="11.15"/>
    <row r="1520" customFormat="1" ht="11.15"/>
    <row r="1521" customFormat="1" ht="11.15"/>
    <row r="1522" customFormat="1" ht="11.15"/>
    <row r="1523" customFormat="1" ht="11.15"/>
    <row r="1524" customFormat="1" ht="11.15"/>
    <row r="1525" customFormat="1" ht="11.15"/>
    <row r="1526" customFormat="1" ht="11.15"/>
    <row r="1527" customFormat="1" ht="11.15"/>
    <row r="1528" customFormat="1" ht="11.15"/>
    <row r="1529" customFormat="1" ht="11.15"/>
    <row r="1530" customFormat="1" ht="11.15"/>
    <row r="1531" customFormat="1" ht="11.15"/>
    <row r="1532" customFormat="1" ht="11.15"/>
    <row r="1533" customFormat="1" ht="11.15"/>
    <row r="1534" customFormat="1" ht="11.15"/>
    <row r="1535" customFormat="1" ht="11.15"/>
    <row r="1536" customFormat="1" ht="11.15"/>
    <row r="1537" customFormat="1" ht="11.15"/>
    <row r="1538" customFormat="1" ht="11.15"/>
    <row r="1539" customFormat="1" ht="11.15"/>
    <row r="1540" customFormat="1" ht="11.15"/>
    <row r="1541" customFormat="1" ht="11.15"/>
    <row r="1542" customFormat="1" ht="11.15"/>
    <row r="1543" customFormat="1" ht="11.15"/>
    <row r="1544" customFormat="1" ht="11.15"/>
    <row r="1545" customFormat="1" ht="11.15"/>
    <row r="1546" customFormat="1" ht="11.15"/>
    <row r="1547" customFormat="1" ht="11.15"/>
    <row r="1548" customFormat="1" ht="11.15"/>
    <row r="1549" customFormat="1" ht="11.15"/>
    <row r="1550" customFormat="1" ht="11.15"/>
    <row r="1551" customFormat="1" ht="11.15"/>
    <row r="1552" customFormat="1" ht="11.15"/>
    <row r="1553" customFormat="1" ht="11.15"/>
    <row r="1554" customFormat="1" ht="11.15"/>
    <row r="1555" customFormat="1" ht="11.15"/>
    <row r="1556" customFormat="1" ht="11.15"/>
    <row r="1557" customFormat="1" ht="11.15"/>
    <row r="1558" customFormat="1" ht="11.15"/>
    <row r="1559" customFormat="1" ht="11.15"/>
    <row r="1560" customFormat="1" ht="11.15"/>
    <row r="1561" customFormat="1" ht="11.15"/>
    <row r="1562" customFormat="1" ht="11.15"/>
    <row r="1563" customFormat="1" ht="11.15"/>
    <row r="1564" customFormat="1" ht="11.15"/>
    <row r="1565" customFormat="1" ht="11.15"/>
    <row r="1566" customFormat="1" ht="11.15"/>
    <row r="1567" customFormat="1" ht="11.15"/>
    <row r="1568" customFormat="1" ht="11.15"/>
    <row r="1569" spans="3:30" customFormat="1" ht="11.15"/>
    <row r="1570" spans="3:30" customFormat="1" ht="11.15"/>
    <row r="1571" spans="3:30" customFormat="1" ht="11.15"/>
    <row r="1572" spans="3:30" customFormat="1" ht="11.15"/>
    <row r="1573" spans="3:30" customFormat="1" ht="11.15"/>
    <row r="1574" spans="3:30" customFormat="1" ht="11.15"/>
    <row r="1575" spans="3:30" customFormat="1" ht="11.15"/>
    <row r="1576" spans="3:30" customFormat="1" ht="11.15"/>
    <row r="1577" spans="3:30" customFormat="1" ht="11.15"/>
    <row r="1578" spans="3:30" customFormat="1" ht="11.15"/>
    <row r="1579" spans="3:30" customFormat="1" ht="11.15"/>
    <row r="1580" spans="3:30">
      <c r="C1580"/>
      <c r="T1580" s="247"/>
      <c r="U1580" s="247"/>
      <c r="V1580" s="247"/>
      <c r="W1580" s="247"/>
      <c r="X1580" s="247"/>
      <c r="Y1580" s="247"/>
      <c r="Z1580" s="247"/>
      <c r="AA1580" s="247"/>
      <c r="AB1580" s="247"/>
      <c r="AC1580" s="247"/>
      <c r="AD1580" s="248"/>
    </row>
    <row r="1581" spans="3:30">
      <c r="C1581"/>
      <c r="T1581" s="247"/>
      <c r="U1581" s="247"/>
      <c r="V1581" s="247"/>
      <c r="W1581" s="247"/>
      <c r="X1581" s="247"/>
      <c r="Y1581" s="247"/>
      <c r="Z1581" s="247"/>
      <c r="AA1581" s="247"/>
      <c r="AB1581" s="247"/>
      <c r="AC1581" s="247"/>
      <c r="AD1581" s="248"/>
    </row>
    <row r="1582" spans="3:30">
      <c r="C1582"/>
      <c r="T1582" s="247"/>
      <c r="U1582" s="247"/>
      <c r="V1582" s="247"/>
      <c r="W1582" s="247"/>
      <c r="X1582" s="247"/>
      <c r="Y1582" s="247"/>
      <c r="Z1582" s="247"/>
      <c r="AA1582" s="247"/>
      <c r="AB1582" s="247"/>
      <c r="AC1582" s="247"/>
      <c r="AD1582" s="248"/>
    </row>
    <row r="1583" spans="3:30">
      <c r="C1583"/>
      <c r="T1583" s="247"/>
      <c r="U1583" s="247"/>
      <c r="V1583" s="247"/>
      <c r="W1583" s="247"/>
      <c r="X1583" s="247"/>
      <c r="Y1583" s="247"/>
      <c r="Z1583" s="247"/>
      <c r="AA1583" s="247"/>
      <c r="AB1583" s="247"/>
      <c r="AC1583" s="247"/>
      <c r="AD1583" s="248"/>
    </row>
    <row r="1584" spans="3:30">
      <c r="C1584"/>
      <c r="T1584" s="247"/>
      <c r="U1584" s="247"/>
      <c r="V1584" s="247"/>
      <c r="W1584" s="247"/>
      <c r="X1584" s="247"/>
      <c r="Y1584" s="247"/>
      <c r="Z1584" s="247"/>
      <c r="AA1584" s="247"/>
      <c r="AB1584" s="247"/>
      <c r="AC1584" s="247"/>
      <c r="AD1584" s="248"/>
    </row>
    <row r="1585" spans="3:30">
      <c r="C1585"/>
      <c r="T1585" s="247"/>
      <c r="U1585" s="247"/>
      <c r="V1585" s="247"/>
      <c r="W1585" s="247"/>
      <c r="X1585" s="247"/>
      <c r="Y1585" s="247"/>
      <c r="Z1585" s="247"/>
      <c r="AA1585" s="247"/>
      <c r="AB1585" s="247"/>
      <c r="AC1585" s="247"/>
      <c r="AD1585" s="248"/>
    </row>
    <row r="1586" spans="3:30">
      <c r="C1586"/>
      <c r="T1586" s="247"/>
      <c r="U1586" s="247"/>
      <c r="V1586" s="247"/>
      <c r="W1586" s="247"/>
      <c r="X1586" s="247"/>
      <c r="Y1586" s="247"/>
      <c r="Z1586" s="247"/>
      <c r="AA1586" s="247"/>
      <c r="AB1586" s="247"/>
      <c r="AC1586" s="247"/>
      <c r="AD1586" s="248"/>
    </row>
    <row r="1587" spans="3:30">
      <c r="C1587"/>
      <c r="T1587" s="247"/>
      <c r="U1587" s="247"/>
      <c r="V1587" s="247"/>
      <c r="W1587" s="247"/>
      <c r="X1587" s="247"/>
      <c r="Y1587" s="247"/>
      <c r="Z1587" s="247"/>
      <c r="AA1587" s="247"/>
      <c r="AB1587" s="247"/>
      <c r="AC1587" s="247"/>
      <c r="AD1587" s="248"/>
    </row>
    <row r="1588" spans="3:30">
      <c r="C1588"/>
      <c r="T1588" s="247"/>
      <c r="U1588" s="247"/>
      <c r="V1588" s="247"/>
      <c r="W1588" s="247"/>
      <c r="X1588" s="247"/>
      <c r="Y1588" s="247"/>
      <c r="Z1588" s="247"/>
      <c r="AA1588" s="247"/>
      <c r="AB1588" s="247"/>
      <c r="AC1588" s="247"/>
      <c r="AD1588" s="248"/>
    </row>
    <row r="1589" spans="3:30">
      <c r="C1589"/>
      <c r="T1589" s="247"/>
      <c r="U1589" s="247"/>
      <c r="V1589" s="247"/>
      <c r="W1589" s="247"/>
      <c r="X1589" s="247"/>
      <c r="Y1589" s="247"/>
      <c r="Z1589" s="247"/>
      <c r="AA1589" s="247"/>
      <c r="AB1589" s="247"/>
      <c r="AC1589" s="247"/>
      <c r="AD1589" s="248"/>
    </row>
    <row r="1590" spans="3:30">
      <c r="C1590"/>
      <c r="T1590" s="247"/>
      <c r="U1590" s="247"/>
      <c r="V1590" s="247"/>
      <c r="W1590" s="247"/>
      <c r="X1590" s="247"/>
      <c r="Y1590" s="247"/>
      <c r="Z1590" s="247"/>
      <c r="AA1590" s="247"/>
      <c r="AB1590" s="247"/>
      <c r="AC1590" s="247"/>
      <c r="AD1590" s="248"/>
    </row>
    <row r="1591" spans="3:30">
      <c r="C1591"/>
      <c r="T1591" s="247"/>
      <c r="U1591" s="247"/>
      <c r="V1591" s="247"/>
      <c r="W1591" s="247"/>
      <c r="X1591" s="247"/>
      <c r="Y1591" s="247"/>
      <c r="Z1591" s="247"/>
      <c r="AA1591" s="247"/>
      <c r="AB1591" s="247"/>
      <c r="AC1591" s="247"/>
      <c r="AD1591" s="248"/>
    </row>
    <row r="1592" spans="3:30">
      <c r="C1592"/>
      <c r="T1592" s="247"/>
      <c r="U1592" s="247"/>
      <c r="V1592" s="247"/>
      <c r="W1592" s="247"/>
      <c r="X1592" s="247"/>
      <c r="Y1592" s="247"/>
      <c r="Z1592" s="247"/>
      <c r="AA1592" s="247"/>
      <c r="AB1592" s="247"/>
      <c r="AC1592" s="247"/>
      <c r="AD1592" s="248"/>
    </row>
    <row r="1593" spans="3:30">
      <c r="C1593"/>
      <c r="T1593" s="247"/>
      <c r="U1593" s="247"/>
      <c r="V1593" s="247"/>
      <c r="W1593" s="247"/>
      <c r="X1593" s="247"/>
      <c r="Y1593" s="247"/>
      <c r="Z1593" s="247"/>
      <c r="AA1593" s="247"/>
      <c r="AB1593" s="247"/>
      <c r="AC1593" s="247"/>
      <c r="AD1593" s="248"/>
    </row>
    <row r="1594" spans="3:30">
      <c r="C1594"/>
      <c r="T1594" s="247"/>
      <c r="U1594" s="247"/>
      <c r="V1594" s="247"/>
      <c r="W1594" s="247"/>
      <c r="X1594" s="247"/>
      <c r="Y1594" s="247"/>
      <c r="Z1594" s="247"/>
      <c r="AA1594" s="247"/>
      <c r="AB1594" s="247"/>
      <c r="AC1594" s="247"/>
      <c r="AD1594" s="248"/>
    </row>
    <row r="1595" spans="3:30">
      <c r="C1595"/>
      <c r="T1595" s="247"/>
      <c r="U1595" s="247"/>
      <c r="V1595" s="247"/>
      <c r="W1595" s="247"/>
      <c r="X1595" s="247"/>
      <c r="Y1595" s="247"/>
      <c r="Z1595" s="247"/>
      <c r="AA1595" s="247"/>
      <c r="AB1595" s="247"/>
      <c r="AC1595" s="247"/>
      <c r="AD1595" s="248"/>
    </row>
    <row r="1596" spans="3:30">
      <c r="C1596"/>
      <c r="T1596" s="247"/>
      <c r="U1596" s="247"/>
      <c r="V1596" s="247"/>
      <c r="W1596" s="247"/>
      <c r="X1596" s="247"/>
      <c r="Y1596" s="247"/>
      <c r="Z1596" s="247"/>
      <c r="AA1596" s="247"/>
      <c r="AB1596" s="247"/>
      <c r="AC1596" s="247"/>
      <c r="AD1596" s="248"/>
    </row>
    <row r="1597" spans="3:30">
      <c r="C1597"/>
      <c r="T1597" s="247"/>
      <c r="U1597" s="247"/>
      <c r="V1597" s="247"/>
      <c r="W1597" s="247"/>
      <c r="X1597" s="247"/>
      <c r="Y1597" s="247"/>
      <c r="Z1597" s="247"/>
      <c r="AA1597" s="247"/>
      <c r="AB1597" s="247"/>
      <c r="AC1597" s="247"/>
      <c r="AD1597" s="248"/>
    </row>
    <row r="1598" spans="3:30">
      <c r="C1598"/>
      <c r="T1598" s="247"/>
      <c r="U1598" s="247"/>
      <c r="V1598" s="247"/>
      <c r="W1598" s="247"/>
      <c r="X1598" s="247"/>
      <c r="Y1598" s="247"/>
      <c r="Z1598" s="247"/>
      <c r="AA1598" s="247"/>
      <c r="AB1598" s="247"/>
      <c r="AC1598" s="247"/>
      <c r="AD1598" s="248"/>
    </row>
    <row r="1599" spans="3:30">
      <c r="C1599"/>
      <c r="T1599" s="247"/>
      <c r="U1599" s="247"/>
      <c r="V1599" s="247"/>
      <c r="W1599" s="247"/>
      <c r="X1599" s="247"/>
      <c r="Y1599" s="247"/>
      <c r="Z1599" s="247"/>
      <c r="AA1599" s="247"/>
      <c r="AB1599" s="247"/>
      <c r="AC1599" s="247"/>
      <c r="AD1599" s="248"/>
    </row>
    <row r="1600" spans="3:30">
      <c r="C1600"/>
      <c r="T1600" s="247"/>
      <c r="U1600" s="247"/>
      <c r="V1600" s="247"/>
      <c r="W1600" s="247"/>
      <c r="X1600" s="247"/>
      <c r="Y1600" s="247"/>
      <c r="Z1600" s="247"/>
      <c r="AA1600" s="247"/>
      <c r="AB1600" s="247"/>
      <c r="AC1600" s="247"/>
      <c r="AD1600" s="248"/>
    </row>
    <row r="1601" spans="3:30">
      <c r="C1601"/>
      <c r="T1601" s="247"/>
      <c r="U1601" s="247"/>
      <c r="V1601" s="247"/>
      <c r="W1601" s="247"/>
      <c r="X1601" s="247"/>
      <c r="Y1601" s="247"/>
      <c r="Z1601" s="247"/>
      <c r="AA1601" s="247"/>
      <c r="AB1601" s="247"/>
      <c r="AC1601" s="247"/>
      <c r="AD1601" s="248"/>
    </row>
    <row r="1602" spans="3:30">
      <c r="C1602"/>
      <c r="T1602" s="247"/>
      <c r="U1602" s="247"/>
      <c r="V1602" s="247"/>
      <c r="W1602" s="247"/>
      <c r="X1602" s="247"/>
      <c r="Y1602" s="247"/>
      <c r="Z1602" s="247"/>
      <c r="AA1602" s="247"/>
      <c r="AB1602" s="247"/>
      <c r="AC1602" s="247"/>
      <c r="AD1602" s="248"/>
    </row>
    <row r="1603" spans="3:30">
      <c r="C1603"/>
      <c r="T1603" s="247"/>
      <c r="U1603" s="247"/>
      <c r="V1603" s="247"/>
      <c r="W1603" s="247"/>
      <c r="X1603" s="247"/>
      <c r="Y1603" s="247"/>
      <c r="Z1603" s="247"/>
      <c r="AA1603" s="247"/>
      <c r="AB1603" s="247"/>
      <c r="AC1603" s="247"/>
      <c r="AD1603" s="248"/>
    </row>
    <row r="1604" spans="3:30">
      <c r="C1604"/>
      <c r="T1604" s="247"/>
      <c r="U1604" s="247"/>
      <c r="V1604" s="247"/>
      <c r="W1604" s="247"/>
      <c r="X1604" s="247"/>
      <c r="Y1604" s="247"/>
      <c r="Z1604" s="247"/>
      <c r="AA1604" s="247"/>
      <c r="AB1604" s="247"/>
      <c r="AC1604" s="247"/>
      <c r="AD1604" s="248"/>
    </row>
    <row r="1605" spans="3:30">
      <c r="C1605"/>
      <c r="T1605" s="247"/>
      <c r="U1605" s="247"/>
      <c r="V1605" s="247"/>
      <c r="W1605" s="247"/>
      <c r="X1605" s="247"/>
      <c r="Y1605" s="247"/>
      <c r="Z1605" s="247"/>
      <c r="AA1605" s="247"/>
      <c r="AB1605" s="247"/>
      <c r="AC1605" s="247"/>
      <c r="AD1605" s="248"/>
    </row>
    <row r="1606" spans="3:30">
      <c r="C1606"/>
      <c r="T1606" s="247"/>
      <c r="U1606" s="247"/>
      <c r="V1606" s="247"/>
      <c r="W1606" s="247"/>
      <c r="X1606" s="247"/>
      <c r="Y1606" s="247"/>
      <c r="Z1606" s="247"/>
      <c r="AA1606" s="247"/>
      <c r="AB1606" s="247"/>
      <c r="AC1606" s="247"/>
      <c r="AD1606" s="248"/>
    </row>
    <row r="1607" spans="3:30">
      <c r="C1607"/>
      <c r="T1607" s="247"/>
      <c r="U1607" s="247"/>
      <c r="V1607" s="247"/>
      <c r="W1607" s="247"/>
      <c r="X1607" s="247"/>
      <c r="Y1607" s="247"/>
      <c r="Z1607" s="247"/>
      <c r="AA1607" s="247"/>
      <c r="AB1607" s="247"/>
      <c r="AC1607" s="247"/>
      <c r="AD1607" s="248"/>
    </row>
    <row r="1608" spans="3:30">
      <c r="C1608"/>
      <c r="T1608" s="247"/>
      <c r="U1608" s="247"/>
      <c r="V1608" s="247"/>
      <c r="W1608" s="247"/>
      <c r="X1608" s="247"/>
      <c r="Y1608" s="247"/>
      <c r="Z1608" s="247"/>
      <c r="AA1608" s="247"/>
      <c r="AB1608" s="247"/>
      <c r="AC1608" s="247"/>
      <c r="AD1608" s="248"/>
    </row>
    <row r="1609" spans="3:30">
      <c r="C1609"/>
      <c r="T1609" s="247"/>
      <c r="U1609" s="247"/>
      <c r="V1609" s="247"/>
      <c r="W1609" s="247"/>
      <c r="X1609" s="247"/>
      <c r="Y1609" s="247"/>
      <c r="Z1609" s="247"/>
      <c r="AA1609" s="247"/>
      <c r="AB1609" s="247"/>
      <c r="AC1609" s="247"/>
      <c r="AD1609" s="248"/>
    </row>
    <row r="1610" spans="3:30">
      <c r="C1610"/>
      <c r="T1610" s="247"/>
      <c r="U1610" s="247"/>
      <c r="V1610" s="247"/>
      <c r="W1610" s="247"/>
      <c r="X1610" s="247"/>
      <c r="Y1610" s="247"/>
      <c r="Z1610" s="247"/>
      <c r="AA1610" s="247"/>
      <c r="AB1610" s="247"/>
      <c r="AC1610" s="247"/>
      <c r="AD1610" s="248"/>
    </row>
    <row r="1611" spans="3:30">
      <c r="C1611"/>
      <c r="T1611" s="247"/>
      <c r="U1611" s="247"/>
      <c r="V1611" s="247"/>
      <c r="W1611" s="247"/>
      <c r="X1611" s="247"/>
      <c r="Y1611" s="247"/>
      <c r="Z1611" s="247"/>
      <c r="AA1611" s="247"/>
      <c r="AB1611" s="247"/>
      <c r="AC1611" s="247"/>
      <c r="AD1611" s="248"/>
    </row>
    <row r="1612" spans="3:30">
      <c r="C1612"/>
      <c r="T1612" s="247"/>
      <c r="U1612" s="247"/>
      <c r="V1612" s="247"/>
      <c r="W1612" s="247"/>
      <c r="X1612" s="247"/>
      <c r="Y1612" s="247"/>
      <c r="Z1612" s="247"/>
      <c r="AA1612" s="247"/>
      <c r="AB1612" s="247"/>
      <c r="AC1612" s="247"/>
      <c r="AD1612" s="248"/>
    </row>
    <row r="1613" spans="3:30">
      <c r="C1613"/>
      <c r="T1613" s="247"/>
      <c r="U1613" s="247"/>
      <c r="V1613" s="247"/>
      <c r="W1613" s="247"/>
      <c r="X1613" s="247"/>
      <c r="Y1613" s="247"/>
      <c r="Z1613" s="247"/>
      <c r="AA1613" s="247"/>
      <c r="AB1613" s="247"/>
      <c r="AC1613" s="247"/>
      <c r="AD1613" s="248"/>
    </row>
    <row r="1614" spans="3:30">
      <c r="C1614"/>
      <c r="T1614" s="247"/>
      <c r="U1614" s="247"/>
      <c r="V1614" s="247"/>
      <c r="W1614" s="247"/>
      <c r="X1614" s="247"/>
      <c r="Y1614" s="247"/>
      <c r="Z1614" s="247"/>
      <c r="AA1614" s="247"/>
      <c r="AB1614" s="247"/>
      <c r="AC1614" s="247"/>
      <c r="AD1614" s="248"/>
    </row>
    <row r="1615" spans="3:30">
      <c r="C1615"/>
      <c r="T1615" s="247"/>
      <c r="U1615" s="247"/>
      <c r="V1615" s="247"/>
      <c r="W1615" s="247"/>
      <c r="X1615" s="247"/>
      <c r="Y1615" s="247"/>
      <c r="Z1615" s="247"/>
      <c r="AA1615" s="247"/>
      <c r="AB1615" s="247"/>
      <c r="AC1615" s="247"/>
      <c r="AD1615" s="248"/>
    </row>
    <row r="1616" spans="3:30">
      <c r="C1616"/>
      <c r="T1616" s="247"/>
      <c r="U1616" s="247"/>
      <c r="V1616" s="247"/>
      <c r="W1616" s="247"/>
      <c r="X1616" s="247"/>
      <c r="Y1616" s="247"/>
      <c r="Z1616" s="247"/>
      <c r="AA1616" s="247"/>
      <c r="AB1616" s="247"/>
      <c r="AC1616" s="247"/>
      <c r="AD1616" s="248"/>
    </row>
    <row r="1617" spans="3:30">
      <c r="C1617"/>
      <c r="T1617" s="247"/>
      <c r="U1617" s="247"/>
      <c r="V1617" s="247"/>
      <c r="W1617" s="247"/>
      <c r="X1617" s="247"/>
      <c r="Y1617" s="247"/>
      <c r="Z1617" s="247"/>
      <c r="AA1617" s="247"/>
      <c r="AB1617" s="247"/>
      <c r="AC1617" s="247"/>
      <c r="AD1617" s="248"/>
    </row>
    <row r="1618" spans="3:30">
      <c r="C1618"/>
      <c r="T1618" s="247"/>
      <c r="U1618" s="247"/>
      <c r="V1618" s="247"/>
      <c r="W1618" s="247"/>
      <c r="X1618" s="247"/>
      <c r="Y1618" s="247"/>
      <c r="Z1618" s="247"/>
      <c r="AA1618" s="247"/>
      <c r="AB1618" s="247"/>
      <c r="AC1618" s="247"/>
      <c r="AD1618" s="248"/>
    </row>
    <row r="1619" spans="3:30">
      <c r="C1619"/>
      <c r="T1619" s="247"/>
      <c r="U1619" s="247"/>
      <c r="V1619" s="247"/>
      <c r="W1619" s="247"/>
      <c r="X1619" s="247"/>
      <c r="Y1619" s="247"/>
      <c r="Z1619" s="247"/>
      <c r="AA1619" s="247"/>
      <c r="AB1619" s="247"/>
      <c r="AC1619" s="247"/>
      <c r="AD1619" s="248"/>
    </row>
    <row r="1620" spans="3:30">
      <c r="C1620"/>
      <c r="T1620" s="247"/>
      <c r="U1620" s="247"/>
      <c r="V1620" s="247"/>
      <c r="W1620" s="247"/>
      <c r="X1620" s="247"/>
      <c r="Y1620" s="247"/>
      <c r="Z1620" s="247"/>
      <c r="AA1620" s="247"/>
      <c r="AB1620" s="247"/>
      <c r="AC1620" s="247"/>
      <c r="AD1620" s="248"/>
    </row>
    <row r="1621" spans="3:30">
      <c r="C1621"/>
      <c r="T1621" s="247"/>
      <c r="U1621" s="247"/>
      <c r="V1621" s="247"/>
      <c r="W1621" s="247"/>
      <c r="X1621" s="247"/>
      <c r="Y1621" s="247"/>
      <c r="Z1621" s="247"/>
      <c r="AA1621" s="247"/>
      <c r="AB1621" s="247"/>
      <c r="AC1621" s="247"/>
      <c r="AD1621" s="248"/>
    </row>
    <row r="1622" spans="3:30">
      <c r="C1622"/>
      <c r="T1622" s="247"/>
      <c r="U1622" s="247"/>
      <c r="V1622" s="247"/>
      <c r="W1622" s="247"/>
      <c r="X1622" s="247"/>
      <c r="Y1622" s="247"/>
      <c r="Z1622" s="247"/>
      <c r="AA1622" s="247"/>
      <c r="AB1622" s="247"/>
      <c r="AC1622" s="247"/>
      <c r="AD1622" s="248"/>
    </row>
    <row r="1623" spans="3:30">
      <c r="C1623"/>
      <c r="T1623" s="247"/>
      <c r="U1623" s="247"/>
      <c r="V1623" s="247"/>
      <c r="W1623" s="247"/>
      <c r="X1623" s="247"/>
      <c r="Y1623" s="247"/>
      <c r="Z1623" s="247"/>
      <c r="AA1623" s="247"/>
      <c r="AB1623" s="247"/>
      <c r="AC1623" s="247"/>
      <c r="AD1623" s="248"/>
    </row>
    <row r="1624" spans="3:30">
      <c r="C1624"/>
      <c r="T1624" s="247"/>
      <c r="U1624" s="247"/>
      <c r="V1624" s="247"/>
      <c r="W1624" s="247"/>
      <c r="X1624" s="247"/>
      <c r="Y1624" s="247"/>
      <c r="Z1624" s="247"/>
      <c r="AA1624" s="247"/>
      <c r="AB1624" s="247"/>
      <c r="AC1624" s="247"/>
      <c r="AD1624" s="248"/>
    </row>
    <row r="1625" spans="3:30">
      <c r="C1625"/>
      <c r="T1625" s="247"/>
      <c r="U1625" s="247"/>
      <c r="V1625" s="247"/>
      <c r="W1625" s="247"/>
      <c r="X1625" s="247"/>
      <c r="Y1625" s="247"/>
      <c r="Z1625" s="247"/>
      <c r="AA1625" s="247"/>
      <c r="AB1625" s="247"/>
      <c r="AC1625" s="247"/>
      <c r="AD1625" s="248"/>
    </row>
    <row r="1626" spans="3:30">
      <c r="C1626"/>
      <c r="T1626" s="247"/>
      <c r="U1626" s="247"/>
      <c r="V1626" s="247"/>
      <c r="W1626" s="247"/>
      <c r="X1626" s="247"/>
      <c r="Y1626" s="247"/>
      <c r="Z1626" s="247"/>
      <c r="AA1626" s="247"/>
      <c r="AB1626" s="247"/>
      <c r="AC1626" s="247"/>
      <c r="AD1626" s="248"/>
    </row>
    <row r="1627" spans="3:30">
      <c r="C1627"/>
      <c r="T1627" s="247"/>
      <c r="U1627" s="247"/>
      <c r="V1627" s="247"/>
      <c r="W1627" s="247"/>
      <c r="X1627" s="247"/>
      <c r="Y1627" s="247"/>
      <c r="Z1627" s="247"/>
      <c r="AA1627" s="247"/>
      <c r="AB1627" s="247"/>
      <c r="AC1627" s="247"/>
      <c r="AD1627" s="248"/>
    </row>
    <row r="1628" spans="3:30">
      <c r="C1628"/>
      <c r="T1628" s="247"/>
      <c r="U1628" s="247"/>
      <c r="V1628" s="247"/>
      <c r="W1628" s="247"/>
      <c r="X1628" s="247"/>
      <c r="Y1628" s="247"/>
      <c r="Z1628" s="247"/>
      <c r="AA1628" s="247"/>
      <c r="AB1628" s="247"/>
      <c r="AC1628" s="247"/>
      <c r="AD1628" s="248"/>
    </row>
    <row r="1629" spans="3:30">
      <c r="C1629"/>
      <c r="T1629" s="247"/>
      <c r="U1629" s="247"/>
      <c r="V1629" s="247"/>
      <c r="W1629" s="247"/>
      <c r="X1629" s="247"/>
      <c r="Y1629" s="247"/>
      <c r="Z1629" s="247"/>
      <c r="AA1629" s="247"/>
      <c r="AB1629" s="247"/>
      <c r="AC1629" s="247"/>
      <c r="AD1629" s="248"/>
    </row>
    <row r="1630" spans="3:30">
      <c r="C1630"/>
      <c r="T1630" s="247"/>
      <c r="U1630" s="247"/>
      <c r="V1630" s="247"/>
      <c r="W1630" s="247"/>
      <c r="X1630" s="247"/>
      <c r="Y1630" s="247"/>
      <c r="Z1630" s="247"/>
      <c r="AA1630" s="247"/>
      <c r="AB1630" s="247"/>
      <c r="AC1630" s="247"/>
      <c r="AD1630" s="248"/>
    </row>
    <row r="1631" spans="3:30">
      <c r="C1631"/>
      <c r="T1631" s="247"/>
      <c r="U1631" s="247"/>
      <c r="V1631" s="247"/>
      <c r="W1631" s="247"/>
      <c r="X1631" s="247"/>
      <c r="Y1631" s="247"/>
      <c r="Z1631" s="247"/>
      <c r="AA1631" s="247"/>
      <c r="AB1631" s="247"/>
      <c r="AC1631" s="247"/>
      <c r="AD1631" s="248"/>
    </row>
    <row r="1632" spans="3:30">
      <c r="C1632"/>
      <c r="T1632" s="247"/>
      <c r="U1632" s="247"/>
      <c r="V1632" s="247"/>
      <c r="W1632" s="247"/>
      <c r="X1632" s="247"/>
      <c r="Y1632" s="247"/>
      <c r="Z1632" s="247"/>
      <c r="AA1632" s="247"/>
      <c r="AB1632" s="247"/>
      <c r="AC1632" s="247"/>
      <c r="AD1632" s="248"/>
    </row>
    <row r="1633" spans="3:30">
      <c r="C1633"/>
      <c r="T1633" s="247"/>
      <c r="U1633" s="247"/>
      <c r="V1633" s="247"/>
      <c r="W1633" s="247"/>
      <c r="X1633" s="247"/>
      <c r="Y1633" s="247"/>
      <c r="Z1633" s="247"/>
      <c r="AA1633" s="247"/>
      <c r="AB1633" s="247"/>
      <c r="AC1633" s="247"/>
      <c r="AD1633" s="248"/>
    </row>
    <row r="1634" spans="3:30">
      <c r="C1634"/>
      <c r="T1634" s="247"/>
      <c r="U1634" s="247"/>
      <c r="V1634" s="247"/>
      <c r="W1634" s="247"/>
      <c r="X1634" s="247"/>
      <c r="Y1634" s="247"/>
      <c r="Z1634" s="247"/>
      <c r="AA1634" s="247"/>
      <c r="AB1634" s="247"/>
      <c r="AC1634" s="247"/>
      <c r="AD1634" s="248"/>
    </row>
    <row r="1635" spans="3:30">
      <c r="C1635"/>
      <c r="T1635" s="247"/>
      <c r="U1635" s="247"/>
      <c r="V1635" s="247"/>
      <c r="W1635" s="247"/>
      <c r="X1635" s="247"/>
      <c r="Y1635" s="247"/>
      <c r="Z1635" s="247"/>
      <c r="AA1635" s="247"/>
      <c r="AB1635" s="247"/>
      <c r="AC1635" s="247"/>
      <c r="AD1635" s="248"/>
    </row>
    <row r="1636" spans="3:30">
      <c r="C1636"/>
      <c r="T1636" s="247"/>
      <c r="U1636" s="247"/>
      <c r="V1636" s="247"/>
      <c r="W1636" s="247"/>
      <c r="X1636" s="247"/>
      <c r="Y1636" s="247"/>
      <c r="Z1636" s="247"/>
      <c r="AA1636" s="247"/>
      <c r="AB1636" s="247"/>
      <c r="AC1636" s="247"/>
      <c r="AD1636" s="248"/>
    </row>
    <row r="1637" spans="3:30">
      <c r="C1637"/>
      <c r="T1637" s="247"/>
      <c r="U1637" s="247"/>
      <c r="V1637" s="247"/>
      <c r="W1637" s="247"/>
      <c r="X1637" s="247"/>
      <c r="Y1637" s="247"/>
      <c r="Z1637" s="247"/>
      <c r="AA1637" s="247"/>
      <c r="AB1637" s="247"/>
      <c r="AC1637" s="247"/>
      <c r="AD1637" s="248"/>
    </row>
    <row r="1638" spans="3:30">
      <c r="C1638"/>
      <c r="T1638" s="247"/>
      <c r="U1638" s="247"/>
      <c r="V1638" s="247"/>
      <c r="W1638" s="247"/>
      <c r="X1638" s="247"/>
      <c r="Y1638" s="247"/>
      <c r="Z1638" s="247"/>
      <c r="AA1638" s="247"/>
      <c r="AB1638" s="247"/>
      <c r="AC1638" s="247"/>
      <c r="AD1638" s="248"/>
    </row>
    <row r="1639" spans="3:30">
      <c r="C1639"/>
      <c r="T1639" s="247"/>
      <c r="U1639" s="247"/>
      <c r="V1639" s="247"/>
      <c r="W1639" s="247"/>
      <c r="X1639" s="247"/>
      <c r="Y1639" s="247"/>
      <c r="Z1639" s="247"/>
      <c r="AA1639" s="247"/>
      <c r="AB1639" s="247"/>
      <c r="AC1639" s="247"/>
      <c r="AD1639" s="248"/>
    </row>
    <row r="1640" spans="3:30">
      <c r="C1640"/>
      <c r="T1640" s="247"/>
      <c r="U1640" s="247"/>
      <c r="V1640" s="247"/>
      <c r="W1640" s="247"/>
      <c r="X1640" s="247"/>
      <c r="Y1640" s="247"/>
      <c r="Z1640" s="247"/>
      <c r="AA1640" s="247"/>
      <c r="AB1640" s="247"/>
      <c r="AC1640" s="247"/>
      <c r="AD1640" s="248"/>
    </row>
    <row r="1641" spans="3:30">
      <c r="C1641"/>
      <c r="T1641" s="247"/>
      <c r="U1641" s="247"/>
      <c r="V1641" s="247"/>
      <c r="W1641" s="247"/>
      <c r="X1641" s="247"/>
      <c r="Y1641" s="247"/>
      <c r="Z1641" s="247"/>
      <c r="AA1641" s="247"/>
      <c r="AB1641" s="247"/>
      <c r="AC1641" s="247"/>
      <c r="AD1641" s="248"/>
    </row>
    <row r="1642" spans="3:30">
      <c r="C1642"/>
      <c r="T1642" s="247"/>
      <c r="U1642" s="247"/>
      <c r="V1642" s="247"/>
      <c r="W1642" s="247"/>
      <c r="X1642" s="247"/>
      <c r="Y1642" s="247"/>
      <c r="Z1642" s="247"/>
      <c r="AA1642" s="247"/>
      <c r="AB1642" s="247"/>
      <c r="AC1642" s="247"/>
      <c r="AD1642" s="248"/>
    </row>
    <row r="1643" spans="3:30">
      <c r="C1643"/>
      <c r="T1643" s="247"/>
      <c r="U1643" s="247"/>
      <c r="V1643" s="247"/>
      <c r="W1643" s="247"/>
      <c r="X1643" s="247"/>
      <c r="Y1643" s="247"/>
      <c r="Z1643" s="247"/>
      <c r="AA1643" s="247"/>
      <c r="AB1643" s="247"/>
      <c r="AC1643" s="247"/>
      <c r="AD1643" s="248"/>
    </row>
    <row r="1644" spans="3:30">
      <c r="C1644"/>
      <c r="T1644" s="247"/>
      <c r="U1644" s="247"/>
      <c r="V1644" s="247"/>
      <c r="W1644" s="247"/>
      <c r="X1644" s="247"/>
      <c r="Y1644" s="247"/>
      <c r="Z1644" s="247"/>
      <c r="AA1644" s="247"/>
      <c r="AB1644" s="247"/>
      <c r="AC1644" s="247"/>
      <c r="AD1644" s="248"/>
    </row>
    <row r="1645" spans="3:30">
      <c r="C1645"/>
      <c r="T1645" s="247"/>
      <c r="U1645" s="247"/>
      <c r="V1645" s="247"/>
      <c r="W1645" s="247"/>
      <c r="X1645" s="247"/>
      <c r="Y1645" s="247"/>
      <c r="Z1645" s="247"/>
      <c r="AA1645" s="247"/>
      <c r="AB1645" s="247"/>
      <c r="AC1645" s="247"/>
      <c r="AD1645" s="248"/>
    </row>
    <row r="1646" spans="3:30">
      <c r="C1646"/>
      <c r="T1646" s="247"/>
      <c r="U1646" s="247"/>
      <c r="V1646" s="247"/>
      <c r="W1646" s="247"/>
      <c r="X1646" s="247"/>
      <c r="Y1646" s="247"/>
      <c r="Z1646" s="247"/>
      <c r="AA1646" s="247"/>
      <c r="AB1646" s="247"/>
      <c r="AC1646" s="247"/>
      <c r="AD1646" s="248"/>
    </row>
    <row r="1647" spans="3:30">
      <c r="C1647"/>
      <c r="T1647" s="247"/>
      <c r="U1647" s="247"/>
      <c r="V1647" s="247"/>
      <c r="W1647" s="247"/>
      <c r="X1647" s="247"/>
      <c r="Y1647" s="247"/>
      <c r="Z1647" s="247"/>
      <c r="AA1647" s="247"/>
      <c r="AB1647" s="247"/>
      <c r="AC1647" s="247"/>
      <c r="AD1647" s="248"/>
    </row>
    <row r="1648" spans="3:30">
      <c r="C1648"/>
      <c r="T1648" s="247"/>
      <c r="U1648" s="247"/>
      <c r="V1648" s="247"/>
      <c r="W1648" s="247"/>
      <c r="X1648" s="247"/>
      <c r="Y1648" s="247"/>
      <c r="Z1648" s="247"/>
      <c r="AA1648" s="247"/>
      <c r="AB1648" s="247"/>
      <c r="AC1648" s="247"/>
      <c r="AD1648" s="248"/>
    </row>
    <row r="1649" spans="3:30">
      <c r="C1649"/>
      <c r="T1649" s="247"/>
      <c r="U1649" s="247"/>
      <c r="V1649" s="247"/>
      <c r="W1649" s="247"/>
      <c r="X1649" s="247"/>
      <c r="Y1649" s="247"/>
      <c r="Z1649" s="247"/>
      <c r="AA1649" s="247"/>
      <c r="AB1649" s="247"/>
      <c r="AC1649" s="247"/>
      <c r="AD1649" s="248"/>
    </row>
    <row r="1650" spans="3:30">
      <c r="C1650"/>
      <c r="T1650" s="247"/>
      <c r="U1650" s="247"/>
      <c r="V1650" s="247"/>
      <c r="W1650" s="247"/>
      <c r="X1650" s="247"/>
      <c r="Y1650" s="247"/>
      <c r="Z1650" s="247"/>
      <c r="AA1650" s="247"/>
      <c r="AB1650" s="247"/>
      <c r="AC1650" s="247"/>
      <c r="AD1650" s="248"/>
    </row>
    <row r="1651" spans="3:30">
      <c r="C1651"/>
      <c r="T1651" s="247"/>
      <c r="U1651" s="247"/>
      <c r="V1651" s="247"/>
      <c r="W1651" s="247"/>
      <c r="X1651" s="247"/>
      <c r="Y1651" s="247"/>
      <c r="Z1651" s="247"/>
      <c r="AA1651" s="247"/>
      <c r="AB1651" s="247"/>
      <c r="AC1651" s="247"/>
      <c r="AD1651" s="248"/>
    </row>
    <row r="1652" spans="3:30">
      <c r="C1652"/>
      <c r="T1652" s="247"/>
      <c r="U1652" s="247"/>
      <c r="V1652" s="247"/>
      <c r="W1652" s="247"/>
      <c r="X1652" s="247"/>
      <c r="Y1652" s="247"/>
      <c r="Z1652" s="247"/>
      <c r="AA1652" s="247"/>
      <c r="AB1652" s="247"/>
      <c r="AC1652" s="247"/>
      <c r="AD1652" s="248"/>
    </row>
    <row r="1653" spans="3:30">
      <c r="C1653"/>
      <c r="T1653" s="247"/>
      <c r="U1653" s="247"/>
      <c r="V1653" s="247"/>
      <c r="W1653" s="247"/>
      <c r="X1653" s="247"/>
      <c r="Y1653" s="247"/>
      <c r="Z1653" s="247"/>
      <c r="AA1653" s="247"/>
      <c r="AB1653" s="247"/>
      <c r="AC1653" s="247"/>
      <c r="AD1653" s="248"/>
    </row>
    <row r="1654" spans="3:30">
      <c r="C1654"/>
      <c r="T1654" s="247"/>
      <c r="U1654" s="247"/>
      <c r="V1654" s="247"/>
      <c r="W1654" s="247"/>
      <c r="X1654" s="247"/>
      <c r="Y1654" s="247"/>
      <c r="Z1654" s="247"/>
      <c r="AA1654" s="247"/>
      <c r="AB1654" s="247"/>
      <c r="AC1654" s="247"/>
      <c r="AD1654" s="248"/>
    </row>
    <row r="1655" spans="3:30">
      <c r="C1655"/>
      <c r="T1655" s="247"/>
      <c r="U1655" s="247"/>
      <c r="V1655" s="247"/>
      <c r="W1655" s="247"/>
      <c r="X1655" s="247"/>
      <c r="Y1655" s="247"/>
      <c r="Z1655" s="247"/>
      <c r="AA1655" s="247"/>
      <c r="AB1655" s="247"/>
      <c r="AC1655" s="247"/>
      <c r="AD1655" s="248"/>
    </row>
    <row r="1656" spans="3:30">
      <c r="C1656"/>
      <c r="T1656" s="247"/>
      <c r="U1656" s="247"/>
      <c r="V1656" s="247"/>
      <c r="W1656" s="247"/>
      <c r="X1656" s="247"/>
      <c r="Y1656" s="247"/>
      <c r="Z1656" s="247"/>
      <c r="AA1656" s="247"/>
      <c r="AB1656" s="247"/>
      <c r="AC1656" s="247"/>
      <c r="AD1656" s="248"/>
    </row>
    <row r="1657" spans="3:30">
      <c r="C1657"/>
      <c r="T1657" s="247"/>
      <c r="U1657" s="247"/>
      <c r="V1657" s="247"/>
      <c r="W1657" s="247"/>
      <c r="X1657" s="247"/>
      <c r="Y1657" s="247"/>
      <c r="Z1657" s="247"/>
      <c r="AA1657" s="247"/>
      <c r="AB1657" s="247"/>
      <c r="AC1657" s="247"/>
      <c r="AD1657" s="248"/>
    </row>
    <row r="1658" spans="3:30">
      <c r="C1658"/>
      <c r="T1658" s="247"/>
      <c r="U1658" s="247"/>
      <c r="V1658" s="247"/>
      <c r="W1658" s="247"/>
      <c r="X1658" s="247"/>
      <c r="Y1658" s="247"/>
      <c r="Z1658" s="247"/>
      <c r="AA1658" s="247"/>
      <c r="AB1658" s="247"/>
      <c r="AC1658" s="247"/>
      <c r="AD1658" s="248"/>
    </row>
    <row r="1659" spans="3:30">
      <c r="C1659"/>
      <c r="T1659" s="247"/>
      <c r="U1659" s="247"/>
      <c r="V1659" s="247"/>
      <c r="W1659" s="247"/>
      <c r="X1659" s="247"/>
      <c r="Y1659" s="247"/>
      <c r="Z1659" s="247"/>
      <c r="AA1659" s="247"/>
      <c r="AB1659" s="247"/>
      <c r="AC1659" s="247"/>
      <c r="AD1659" s="248"/>
    </row>
    <row r="1660" spans="3:30">
      <c r="C1660"/>
      <c r="T1660" s="247"/>
      <c r="U1660" s="247"/>
      <c r="V1660" s="247"/>
      <c r="W1660" s="247"/>
      <c r="X1660" s="247"/>
      <c r="Y1660" s="247"/>
      <c r="Z1660" s="247"/>
      <c r="AA1660" s="247"/>
      <c r="AB1660" s="247"/>
      <c r="AC1660" s="247"/>
      <c r="AD1660" s="248"/>
    </row>
    <row r="1661" spans="3:30">
      <c r="C1661"/>
      <c r="T1661" s="247"/>
      <c r="U1661" s="247"/>
      <c r="V1661" s="247"/>
      <c r="W1661" s="247"/>
      <c r="X1661" s="247"/>
      <c r="Y1661" s="247"/>
      <c r="Z1661" s="247"/>
      <c r="AA1661" s="247"/>
      <c r="AB1661" s="247"/>
      <c r="AC1661" s="247"/>
      <c r="AD1661" s="248"/>
    </row>
    <row r="1662" spans="3:30">
      <c r="C1662"/>
      <c r="T1662" s="247"/>
      <c r="U1662" s="247"/>
      <c r="V1662" s="247"/>
      <c r="W1662" s="247"/>
      <c r="X1662" s="247"/>
      <c r="Y1662" s="247"/>
      <c r="Z1662" s="247"/>
      <c r="AA1662" s="247"/>
      <c r="AB1662" s="247"/>
      <c r="AC1662" s="247"/>
      <c r="AD1662" s="248"/>
    </row>
    <row r="1663" spans="3:30">
      <c r="C1663"/>
      <c r="T1663" s="247"/>
      <c r="U1663" s="247"/>
      <c r="V1663" s="247"/>
      <c r="W1663" s="247"/>
      <c r="X1663" s="247"/>
      <c r="Y1663" s="247"/>
      <c r="Z1663" s="247"/>
      <c r="AA1663" s="247"/>
      <c r="AB1663" s="247"/>
      <c r="AC1663" s="247"/>
      <c r="AD1663" s="248"/>
    </row>
    <row r="1664" spans="3:30">
      <c r="C1664"/>
      <c r="T1664" s="247"/>
      <c r="U1664" s="247"/>
      <c r="V1664" s="247"/>
      <c r="W1664" s="247"/>
      <c r="X1664" s="247"/>
      <c r="Y1664" s="247"/>
      <c r="Z1664" s="247"/>
      <c r="AA1664" s="247"/>
      <c r="AB1664" s="247"/>
      <c r="AC1664" s="247"/>
      <c r="AD1664" s="248"/>
    </row>
    <row r="1665" spans="3:30">
      <c r="C1665"/>
      <c r="T1665" s="247"/>
      <c r="U1665" s="247"/>
      <c r="V1665" s="247"/>
      <c r="W1665" s="247"/>
      <c r="X1665" s="247"/>
      <c r="Y1665" s="247"/>
      <c r="Z1665" s="247"/>
      <c r="AA1665" s="247"/>
      <c r="AB1665" s="247"/>
      <c r="AC1665" s="247"/>
      <c r="AD1665" s="248"/>
    </row>
    <row r="1666" spans="3:30">
      <c r="C1666"/>
      <c r="T1666" s="247"/>
      <c r="U1666" s="247"/>
      <c r="V1666" s="247"/>
      <c r="W1666" s="247"/>
      <c r="X1666" s="247"/>
      <c r="Y1666" s="247"/>
      <c r="Z1666" s="247"/>
      <c r="AA1666" s="247"/>
      <c r="AB1666" s="247"/>
      <c r="AC1666" s="247"/>
      <c r="AD1666" s="248"/>
    </row>
    <row r="1667" spans="3:30">
      <c r="C1667"/>
      <c r="T1667" s="247"/>
      <c r="U1667" s="247"/>
      <c r="V1667" s="247"/>
      <c r="W1667" s="247"/>
      <c r="X1667" s="247"/>
      <c r="Y1667" s="247"/>
      <c r="Z1667" s="247"/>
      <c r="AA1667" s="247"/>
      <c r="AB1667" s="247"/>
      <c r="AC1667" s="247"/>
      <c r="AD1667" s="248"/>
    </row>
    <row r="1668" spans="3:30">
      <c r="C1668"/>
      <c r="T1668" s="247"/>
      <c r="U1668" s="247"/>
      <c r="V1668" s="247"/>
      <c r="W1668" s="247"/>
      <c r="X1668" s="247"/>
      <c r="Y1668" s="247"/>
      <c r="Z1668" s="247"/>
      <c r="AA1668" s="247"/>
      <c r="AB1668" s="247"/>
      <c r="AC1668" s="247"/>
      <c r="AD1668" s="248"/>
    </row>
    <row r="1669" spans="3:30">
      <c r="C1669"/>
      <c r="T1669" s="247"/>
      <c r="U1669" s="247"/>
      <c r="V1669" s="247"/>
      <c r="W1669" s="247"/>
      <c r="X1669" s="247"/>
      <c r="Y1669" s="247"/>
      <c r="Z1669" s="247"/>
      <c r="AA1669" s="247"/>
      <c r="AB1669" s="247"/>
      <c r="AC1669" s="247"/>
      <c r="AD1669" s="248"/>
    </row>
    <row r="1670" spans="3:30">
      <c r="C1670"/>
      <c r="T1670" s="247"/>
      <c r="U1670" s="247"/>
      <c r="V1670" s="247"/>
      <c r="W1670" s="247"/>
      <c r="X1670" s="247"/>
      <c r="Y1670" s="247"/>
      <c r="Z1670" s="247"/>
      <c r="AA1670" s="247"/>
      <c r="AB1670" s="247"/>
      <c r="AC1670" s="247"/>
      <c r="AD1670" s="248"/>
    </row>
    <row r="1671" spans="3:30">
      <c r="C1671"/>
      <c r="T1671" s="247"/>
      <c r="U1671" s="247"/>
      <c r="V1671" s="247"/>
      <c r="W1671" s="247"/>
      <c r="X1671" s="247"/>
      <c r="Y1671" s="247"/>
      <c r="Z1671" s="247"/>
      <c r="AA1671" s="247"/>
      <c r="AB1671" s="247"/>
      <c r="AC1671" s="247"/>
      <c r="AD1671" s="248"/>
    </row>
    <row r="1672" spans="3:30">
      <c r="C1672"/>
      <c r="T1672" s="247"/>
      <c r="U1672" s="247"/>
      <c r="V1672" s="247"/>
      <c r="W1672" s="247"/>
      <c r="X1672" s="247"/>
      <c r="Y1672" s="247"/>
      <c r="Z1672" s="247"/>
      <c r="AA1672" s="247"/>
      <c r="AB1672" s="247"/>
      <c r="AC1672" s="247"/>
      <c r="AD1672" s="248"/>
    </row>
    <row r="1673" spans="3:30">
      <c r="C1673"/>
      <c r="T1673" s="247"/>
      <c r="U1673" s="247"/>
      <c r="V1673" s="247"/>
      <c r="W1673" s="247"/>
      <c r="X1673" s="247"/>
      <c r="Y1673" s="247"/>
      <c r="Z1673" s="247"/>
      <c r="AA1673" s="247"/>
      <c r="AB1673" s="247"/>
      <c r="AC1673" s="247"/>
      <c r="AD1673" s="248"/>
    </row>
    <row r="1674" spans="3:30">
      <c r="C1674"/>
      <c r="T1674" s="247"/>
      <c r="U1674" s="247"/>
      <c r="V1674" s="247"/>
      <c r="W1674" s="247"/>
      <c r="X1674" s="247"/>
      <c r="Y1674" s="247"/>
      <c r="Z1674" s="247"/>
      <c r="AA1674" s="247"/>
      <c r="AB1674" s="247"/>
      <c r="AC1674" s="247"/>
      <c r="AD1674" s="248"/>
    </row>
    <row r="1675" spans="3:30">
      <c r="C1675"/>
      <c r="T1675" s="247"/>
      <c r="U1675" s="247"/>
      <c r="V1675" s="247"/>
      <c r="W1675" s="247"/>
      <c r="X1675" s="247"/>
      <c r="Y1675" s="247"/>
      <c r="Z1675" s="247"/>
      <c r="AA1675" s="247"/>
      <c r="AB1675" s="247"/>
      <c r="AC1675" s="247"/>
      <c r="AD1675" s="248"/>
    </row>
    <row r="1676" spans="3:30">
      <c r="C1676"/>
      <c r="T1676" s="247"/>
      <c r="U1676" s="247"/>
      <c r="V1676" s="247"/>
      <c r="W1676" s="247"/>
      <c r="X1676" s="247"/>
      <c r="Y1676" s="247"/>
      <c r="Z1676" s="247"/>
      <c r="AA1676" s="247"/>
      <c r="AB1676" s="247"/>
      <c r="AC1676" s="247"/>
      <c r="AD1676" s="248"/>
    </row>
    <row r="1677" spans="3:30">
      <c r="C1677"/>
      <c r="T1677" s="247"/>
      <c r="U1677" s="247"/>
      <c r="V1677" s="247"/>
      <c r="W1677" s="247"/>
      <c r="X1677" s="247"/>
      <c r="Y1677" s="247"/>
      <c r="Z1677" s="247"/>
      <c r="AA1677" s="247"/>
      <c r="AB1677" s="247"/>
      <c r="AC1677" s="247"/>
      <c r="AD1677" s="248"/>
    </row>
    <row r="1678" spans="3:30">
      <c r="C1678"/>
      <c r="T1678" s="247"/>
      <c r="U1678" s="247"/>
      <c r="V1678" s="247"/>
      <c r="W1678" s="247"/>
      <c r="X1678" s="247"/>
      <c r="Y1678" s="247"/>
      <c r="Z1678" s="247"/>
      <c r="AA1678" s="247"/>
      <c r="AB1678" s="247"/>
      <c r="AC1678" s="247"/>
      <c r="AD1678" s="248"/>
    </row>
    <row r="1679" spans="3:30">
      <c r="C1679"/>
      <c r="T1679" s="247"/>
      <c r="U1679" s="247"/>
      <c r="V1679" s="247"/>
      <c r="W1679" s="247"/>
      <c r="X1679" s="247"/>
      <c r="Y1679" s="247"/>
      <c r="Z1679" s="247"/>
      <c r="AA1679" s="247"/>
      <c r="AB1679" s="247"/>
      <c r="AC1679" s="247"/>
      <c r="AD1679" s="248"/>
    </row>
    <row r="1680" spans="3:30">
      <c r="C1680"/>
      <c r="T1680" s="247"/>
      <c r="U1680" s="247"/>
      <c r="V1680" s="247"/>
      <c r="W1680" s="247"/>
      <c r="X1680" s="247"/>
      <c r="Y1680" s="247"/>
      <c r="Z1680" s="247"/>
      <c r="AA1680" s="247"/>
      <c r="AB1680" s="247"/>
      <c r="AC1680" s="247"/>
      <c r="AD1680" s="248"/>
    </row>
    <row r="1681" spans="3:30">
      <c r="C1681"/>
      <c r="T1681" s="247"/>
      <c r="U1681" s="247"/>
      <c r="V1681" s="247"/>
      <c r="W1681" s="247"/>
      <c r="X1681" s="247"/>
      <c r="Y1681" s="247"/>
      <c r="Z1681" s="247"/>
      <c r="AA1681" s="247"/>
      <c r="AB1681" s="247"/>
      <c r="AC1681" s="247"/>
      <c r="AD1681" s="248"/>
    </row>
    <row r="1682" spans="3:30">
      <c r="C1682"/>
      <c r="T1682" s="247"/>
      <c r="U1682" s="247"/>
      <c r="V1682" s="247"/>
      <c r="W1682" s="247"/>
      <c r="X1682" s="247"/>
      <c r="Y1682" s="247"/>
      <c r="Z1682" s="247"/>
      <c r="AA1682" s="247"/>
      <c r="AB1682" s="247"/>
      <c r="AC1682" s="247"/>
      <c r="AD1682" s="248"/>
    </row>
    <row r="1683" spans="3:30">
      <c r="C1683"/>
      <c r="T1683" s="247"/>
      <c r="U1683" s="247"/>
      <c r="V1683" s="247"/>
      <c r="W1683" s="247"/>
      <c r="X1683" s="247"/>
      <c r="Y1683" s="247"/>
      <c r="Z1683" s="247"/>
      <c r="AA1683" s="247"/>
      <c r="AB1683" s="247"/>
      <c r="AC1683" s="247"/>
      <c r="AD1683" s="248"/>
    </row>
    <row r="1684" spans="3:30">
      <c r="C1684"/>
      <c r="T1684" s="247"/>
      <c r="U1684" s="247"/>
      <c r="V1684" s="247"/>
      <c r="W1684" s="247"/>
      <c r="X1684" s="247"/>
      <c r="Y1684" s="247"/>
      <c r="Z1684" s="247"/>
      <c r="AA1684" s="247"/>
      <c r="AB1684" s="247"/>
      <c r="AC1684" s="247"/>
      <c r="AD1684" s="248"/>
    </row>
    <row r="1685" spans="3:30">
      <c r="C1685"/>
      <c r="T1685" s="247"/>
      <c r="U1685" s="247"/>
      <c r="V1685" s="247"/>
      <c r="W1685" s="247"/>
      <c r="X1685" s="247"/>
      <c r="Y1685" s="247"/>
      <c r="Z1685" s="247"/>
      <c r="AA1685" s="247"/>
      <c r="AB1685" s="247"/>
      <c r="AC1685" s="247"/>
      <c r="AD1685" s="248"/>
    </row>
    <row r="1686" spans="3:30">
      <c r="C1686"/>
      <c r="T1686" s="247"/>
      <c r="U1686" s="247"/>
      <c r="V1686" s="247"/>
      <c r="W1686" s="247"/>
      <c r="X1686" s="247"/>
      <c r="Y1686" s="247"/>
      <c r="Z1686" s="247"/>
      <c r="AA1686" s="247"/>
      <c r="AB1686" s="247"/>
      <c r="AC1686" s="247"/>
      <c r="AD1686" s="248"/>
    </row>
    <row r="1687" spans="3:30">
      <c r="C1687"/>
      <c r="T1687" s="247"/>
      <c r="U1687" s="247"/>
      <c r="V1687" s="247"/>
      <c r="W1687" s="247"/>
      <c r="X1687" s="247"/>
      <c r="Y1687" s="247"/>
      <c r="Z1687" s="247"/>
      <c r="AA1687" s="247"/>
      <c r="AB1687" s="247"/>
      <c r="AC1687" s="247"/>
      <c r="AD1687" s="248"/>
    </row>
    <row r="1688" spans="3:30">
      <c r="C1688"/>
      <c r="T1688" s="247"/>
      <c r="U1688" s="247"/>
      <c r="V1688" s="247"/>
      <c r="W1688" s="247"/>
      <c r="X1688" s="247"/>
      <c r="Y1688" s="247"/>
      <c r="Z1688" s="247"/>
      <c r="AA1688" s="247"/>
      <c r="AB1688" s="247"/>
      <c r="AC1688" s="247"/>
      <c r="AD1688" s="248"/>
    </row>
    <row r="1689" spans="3:30">
      <c r="C1689"/>
      <c r="T1689" s="247"/>
      <c r="U1689" s="247"/>
      <c r="V1689" s="247"/>
      <c r="W1689" s="247"/>
      <c r="X1689" s="247"/>
      <c r="Y1689" s="247"/>
      <c r="Z1689" s="247"/>
      <c r="AA1689" s="247"/>
      <c r="AB1689" s="247"/>
      <c r="AC1689" s="247"/>
      <c r="AD1689" s="248"/>
    </row>
    <row r="1690" spans="3:30">
      <c r="C1690"/>
      <c r="T1690" s="247"/>
      <c r="U1690" s="247"/>
      <c r="V1690" s="247"/>
      <c r="W1690" s="247"/>
      <c r="X1690" s="247"/>
      <c r="Y1690" s="247"/>
      <c r="Z1690" s="247"/>
      <c r="AA1690" s="247"/>
      <c r="AB1690" s="247"/>
      <c r="AC1690" s="247"/>
      <c r="AD1690" s="248"/>
    </row>
    <row r="1691" spans="3:30">
      <c r="C1691"/>
      <c r="T1691" s="247"/>
      <c r="U1691" s="247"/>
      <c r="V1691" s="247"/>
      <c r="W1691" s="247"/>
      <c r="X1691" s="247"/>
      <c r="Y1691" s="247"/>
      <c r="Z1691" s="247"/>
      <c r="AA1691" s="247"/>
      <c r="AB1691" s="247"/>
      <c r="AC1691" s="247"/>
      <c r="AD1691" s="248"/>
    </row>
    <row r="1692" spans="3:30">
      <c r="C1692"/>
      <c r="T1692" s="247"/>
      <c r="U1692" s="247"/>
      <c r="V1692" s="247"/>
      <c r="W1692" s="247"/>
      <c r="X1692" s="247"/>
      <c r="Y1692" s="247"/>
      <c r="Z1692" s="247"/>
      <c r="AA1692" s="247"/>
      <c r="AB1692" s="247"/>
      <c r="AC1692" s="247"/>
      <c r="AD1692" s="248"/>
    </row>
    <row r="1693" spans="3:30">
      <c r="C1693"/>
      <c r="T1693" s="247"/>
      <c r="U1693" s="247"/>
      <c r="V1693" s="247"/>
      <c r="W1693" s="247"/>
      <c r="X1693" s="247"/>
      <c r="Y1693" s="247"/>
      <c r="Z1693" s="247"/>
      <c r="AA1693" s="247"/>
      <c r="AB1693" s="247"/>
      <c r="AC1693" s="247"/>
      <c r="AD1693" s="248"/>
    </row>
    <row r="1694" spans="3:30">
      <c r="C1694"/>
      <c r="T1694" s="247"/>
      <c r="U1694" s="247"/>
      <c r="V1694" s="247"/>
      <c r="W1694" s="247"/>
      <c r="X1694" s="247"/>
      <c r="Y1694" s="247"/>
      <c r="Z1694" s="247"/>
      <c r="AA1694" s="247"/>
      <c r="AB1694" s="247"/>
      <c r="AC1694" s="247"/>
      <c r="AD1694" s="248"/>
    </row>
    <row r="1695" spans="3:30">
      <c r="C1695"/>
      <c r="T1695" s="247"/>
      <c r="U1695" s="247"/>
      <c r="V1695" s="247"/>
      <c r="W1695" s="247"/>
      <c r="X1695" s="247"/>
      <c r="Y1695" s="247"/>
      <c r="Z1695" s="247"/>
      <c r="AA1695" s="247"/>
      <c r="AB1695" s="247"/>
      <c r="AC1695" s="247"/>
      <c r="AD1695" s="248"/>
    </row>
    <row r="1696" spans="3:30">
      <c r="C1696"/>
      <c r="T1696" s="247"/>
      <c r="U1696" s="247"/>
      <c r="V1696" s="247"/>
      <c r="W1696" s="247"/>
      <c r="X1696" s="247"/>
      <c r="Y1696" s="247"/>
      <c r="Z1696" s="247"/>
      <c r="AA1696" s="247"/>
      <c r="AB1696" s="247"/>
      <c r="AC1696" s="247"/>
      <c r="AD1696" s="248"/>
    </row>
    <row r="1697" spans="3:30">
      <c r="C1697"/>
      <c r="T1697" s="247"/>
      <c r="U1697" s="247"/>
      <c r="V1697" s="247"/>
      <c r="W1697" s="247"/>
      <c r="X1697" s="247"/>
      <c r="Y1697" s="247"/>
      <c r="Z1697" s="247"/>
      <c r="AA1697" s="247"/>
      <c r="AB1697" s="247"/>
      <c r="AC1697" s="247"/>
      <c r="AD1697" s="248"/>
    </row>
    <row r="1698" spans="3:30">
      <c r="C1698"/>
      <c r="T1698" s="247"/>
      <c r="U1698" s="247"/>
      <c r="V1698" s="247"/>
      <c r="W1698" s="247"/>
      <c r="X1698" s="247"/>
      <c r="Y1698" s="247"/>
      <c r="Z1698" s="247"/>
      <c r="AA1698" s="247"/>
      <c r="AB1698" s="247"/>
      <c r="AC1698" s="247"/>
      <c r="AD1698" s="248"/>
    </row>
    <row r="1699" spans="3:30">
      <c r="C1699"/>
      <c r="T1699" s="247"/>
      <c r="U1699" s="247"/>
      <c r="V1699" s="247"/>
      <c r="W1699" s="247"/>
      <c r="X1699" s="247"/>
      <c r="Y1699" s="247"/>
      <c r="Z1699" s="247"/>
      <c r="AA1699" s="247"/>
      <c r="AB1699" s="247"/>
      <c r="AC1699" s="247"/>
      <c r="AD1699" s="248"/>
    </row>
    <row r="1700" spans="3:30">
      <c r="C1700"/>
      <c r="T1700" s="247"/>
      <c r="U1700" s="247"/>
      <c r="V1700" s="247"/>
      <c r="W1700" s="247"/>
      <c r="X1700" s="247"/>
      <c r="Y1700" s="247"/>
      <c r="Z1700" s="247"/>
      <c r="AA1700" s="247"/>
      <c r="AB1700" s="247"/>
      <c r="AC1700" s="247"/>
      <c r="AD1700" s="248"/>
    </row>
    <row r="1701" spans="3:30">
      <c r="C1701"/>
      <c r="T1701" s="247"/>
      <c r="U1701" s="247"/>
      <c r="V1701" s="247"/>
      <c r="W1701" s="247"/>
      <c r="X1701" s="247"/>
      <c r="Y1701" s="247"/>
      <c r="Z1701" s="247"/>
      <c r="AA1701" s="247"/>
      <c r="AB1701" s="247"/>
      <c r="AC1701" s="247"/>
      <c r="AD1701" s="248"/>
    </row>
    <row r="1702" spans="3:30">
      <c r="C1702"/>
      <c r="T1702" s="247"/>
      <c r="U1702" s="247"/>
      <c r="V1702" s="247"/>
      <c r="W1702" s="247"/>
      <c r="X1702" s="247"/>
      <c r="Y1702" s="247"/>
      <c r="Z1702" s="247"/>
      <c r="AA1702" s="247"/>
      <c r="AB1702" s="247"/>
      <c r="AC1702" s="247"/>
      <c r="AD1702" s="248"/>
    </row>
    <row r="1703" spans="3:30">
      <c r="C1703"/>
      <c r="T1703" s="247"/>
      <c r="U1703" s="247"/>
      <c r="V1703" s="247"/>
      <c r="W1703" s="247"/>
      <c r="X1703" s="247"/>
      <c r="Y1703" s="247"/>
      <c r="Z1703" s="247"/>
      <c r="AA1703" s="247"/>
      <c r="AB1703" s="247"/>
      <c r="AC1703" s="247"/>
      <c r="AD1703" s="248"/>
    </row>
    <row r="1704" spans="3:30">
      <c r="C1704"/>
      <c r="T1704" s="247"/>
      <c r="U1704" s="247"/>
      <c r="V1704" s="247"/>
      <c r="W1704" s="247"/>
      <c r="X1704" s="247"/>
      <c r="Y1704" s="247"/>
      <c r="Z1704" s="247"/>
      <c r="AA1704" s="247"/>
      <c r="AB1704" s="247"/>
      <c r="AC1704" s="247"/>
      <c r="AD1704" s="248"/>
    </row>
    <row r="1705" spans="3:30">
      <c r="C1705"/>
      <c r="T1705" s="247"/>
      <c r="U1705" s="247"/>
      <c r="V1705" s="247"/>
      <c r="W1705" s="247"/>
      <c r="X1705" s="247"/>
      <c r="Y1705" s="247"/>
      <c r="Z1705" s="247"/>
      <c r="AA1705" s="247"/>
      <c r="AB1705" s="247"/>
      <c r="AC1705" s="247"/>
      <c r="AD1705" s="248"/>
    </row>
    <row r="1706" spans="3:30">
      <c r="C1706"/>
      <c r="T1706" s="247"/>
      <c r="U1706" s="247"/>
      <c r="V1706" s="247"/>
      <c r="W1706" s="247"/>
      <c r="X1706" s="247"/>
      <c r="Y1706" s="247"/>
      <c r="Z1706" s="247"/>
      <c r="AA1706" s="247"/>
      <c r="AB1706" s="247"/>
      <c r="AC1706" s="247"/>
      <c r="AD1706" s="248"/>
    </row>
    <row r="1707" spans="3:30">
      <c r="C1707"/>
      <c r="T1707" s="247"/>
      <c r="U1707" s="247"/>
      <c r="V1707" s="247"/>
      <c r="W1707" s="247"/>
      <c r="X1707" s="247"/>
      <c r="Y1707" s="247"/>
      <c r="Z1707" s="247"/>
      <c r="AA1707" s="247"/>
      <c r="AB1707" s="247"/>
      <c r="AC1707" s="247"/>
      <c r="AD1707" s="248"/>
    </row>
    <row r="1708" spans="3:30">
      <c r="C1708"/>
      <c r="T1708" s="247"/>
      <c r="U1708" s="247"/>
      <c r="V1708" s="247"/>
      <c r="W1708" s="247"/>
      <c r="X1708" s="247"/>
      <c r="Y1708" s="247"/>
      <c r="Z1708" s="247"/>
      <c r="AA1708" s="247"/>
      <c r="AB1708" s="247"/>
      <c r="AC1708" s="247"/>
      <c r="AD1708" s="248"/>
    </row>
    <row r="1709" spans="3:30">
      <c r="C1709"/>
      <c r="T1709" s="247"/>
      <c r="U1709" s="247"/>
      <c r="V1709" s="247"/>
      <c r="W1709" s="247"/>
      <c r="X1709" s="247"/>
      <c r="Y1709" s="247"/>
      <c r="Z1709" s="247"/>
      <c r="AA1709" s="247"/>
      <c r="AB1709" s="247"/>
      <c r="AC1709" s="247"/>
      <c r="AD1709" s="248"/>
    </row>
    <row r="1710" spans="3:30">
      <c r="C1710"/>
      <c r="T1710" s="247"/>
      <c r="U1710" s="247"/>
      <c r="V1710" s="247"/>
      <c r="W1710" s="247"/>
      <c r="X1710" s="247"/>
      <c r="Y1710" s="247"/>
      <c r="Z1710" s="247"/>
      <c r="AA1710" s="247"/>
      <c r="AB1710" s="247"/>
      <c r="AC1710" s="247"/>
      <c r="AD1710" s="248"/>
    </row>
    <row r="1711" spans="3:30">
      <c r="C1711"/>
      <c r="T1711" s="247"/>
      <c r="U1711" s="247"/>
      <c r="V1711" s="247"/>
      <c r="W1711" s="247"/>
      <c r="X1711" s="247"/>
      <c r="Y1711" s="247"/>
      <c r="Z1711" s="247"/>
      <c r="AA1711" s="247"/>
      <c r="AB1711" s="247"/>
      <c r="AC1711" s="247"/>
      <c r="AD1711" s="248"/>
    </row>
    <row r="1712" spans="3:30">
      <c r="C1712"/>
      <c r="T1712" s="247"/>
      <c r="U1712" s="247"/>
      <c r="V1712" s="247"/>
      <c r="W1712" s="247"/>
      <c r="X1712" s="247"/>
      <c r="Y1712" s="247"/>
      <c r="Z1712" s="247"/>
      <c r="AA1712" s="247"/>
      <c r="AB1712" s="247"/>
      <c r="AC1712" s="247"/>
      <c r="AD1712" s="248"/>
    </row>
    <row r="1713" spans="3:30">
      <c r="C1713"/>
      <c r="T1713" s="247"/>
      <c r="U1713" s="247"/>
      <c r="V1713" s="247"/>
      <c r="W1713" s="247"/>
      <c r="X1713" s="247"/>
      <c r="Y1713" s="247"/>
      <c r="Z1713" s="247"/>
      <c r="AA1713" s="247"/>
      <c r="AB1713" s="247"/>
      <c r="AC1713" s="247"/>
      <c r="AD1713" s="248"/>
    </row>
    <row r="1714" spans="3:30">
      <c r="C1714"/>
      <c r="T1714" s="247"/>
      <c r="U1714" s="247"/>
      <c r="V1714" s="247"/>
      <c r="W1714" s="247"/>
      <c r="X1714" s="247"/>
      <c r="Y1714" s="247"/>
      <c r="Z1714" s="247"/>
      <c r="AA1714" s="247"/>
      <c r="AB1714" s="247"/>
      <c r="AC1714" s="247"/>
      <c r="AD1714" s="248"/>
    </row>
    <row r="1715" spans="3:30">
      <c r="C1715"/>
      <c r="T1715" s="247"/>
      <c r="U1715" s="247"/>
      <c r="V1715" s="247"/>
      <c r="W1715" s="247"/>
      <c r="X1715" s="247"/>
      <c r="Y1715" s="247"/>
      <c r="Z1715" s="247"/>
      <c r="AA1715" s="247"/>
      <c r="AB1715" s="247"/>
      <c r="AC1715" s="247"/>
      <c r="AD1715" s="248"/>
    </row>
    <row r="1716" spans="3:30">
      <c r="C1716"/>
      <c r="T1716" s="247"/>
      <c r="U1716" s="247"/>
      <c r="V1716" s="247"/>
      <c r="W1716" s="247"/>
      <c r="X1716" s="247"/>
      <c r="Y1716" s="247"/>
      <c r="Z1716" s="247"/>
      <c r="AA1716" s="247"/>
      <c r="AB1716" s="247"/>
      <c r="AC1716" s="247"/>
      <c r="AD1716" s="248"/>
    </row>
    <row r="1717" spans="3:30">
      <c r="C1717"/>
      <c r="T1717" s="247"/>
      <c r="U1717" s="247"/>
      <c r="V1717" s="247"/>
      <c r="W1717" s="247"/>
      <c r="X1717" s="247"/>
      <c r="Y1717" s="247"/>
      <c r="Z1717" s="247"/>
      <c r="AA1717" s="247"/>
      <c r="AB1717" s="247"/>
      <c r="AC1717" s="247"/>
      <c r="AD1717" s="248"/>
    </row>
    <row r="1718" spans="3:30">
      <c r="C1718"/>
      <c r="T1718" s="247"/>
      <c r="U1718" s="247"/>
      <c r="V1718" s="247"/>
      <c r="W1718" s="247"/>
      <c r="X1718" s="247"/>
      <c r="Y1718" s="247"/>
      <c r="Z1718" s="247"/>
      <c r="AA1718" s="247"/>
      <c r="AB1718" s="247"/>
      <c r="AC1718" s="247"/>
      <c r="AD1718" s="248"/>
    </row>
    <row r="1719" spans="3:30">
      <c r="C1719"/>
      <c r="T1719" s="247"/>
      <c r="U1719" s="247"/>
      <c r="V1719" s="247"/>
      <c r="W1719" s="247"/>
      <c r="X1719" s="247"/>
      <c r="Y1719" s="247"/>
      <c r="Z1719" s="247"/>
      <c r="AA1719" s="247"/>
      <c r="AB1719" s="247"/>
      <c r="AC1719" s="247"/>
      <c r="AD1719" s="248"/>
    </row>
    <row r="1720" spans="3:30">
      <c r="C1720"/>
      <c r="T1720" s="247"/>
      <c r="U1720" s="247"/>
      <c r="V1720" s="247"/>
      <c r="W1720" s="247"/>
      <c r="X1720" s="247"/>
      <c r="Y1720" s="247"/>
      <c r="Z1720" s="247"/>
      <c r="AA1720" s="247"/>
      <c r="AB1720" s="247"/>
      <c r="AC1720" s="247"/>
      <c r="AD1720" s="248"/>
    </row>
    <row r="1721" spans="3:30">
      <c r="C1721"/>
      <c r="T1721" s="247"/>
      <c r="U1721" s="247"/>
      <c r="V1721" s="247"/>
      <c r="W1721" s="247"/>
      <c r="X1721" s="247"/>
      <c r="Y1721" s="247"/>
      <c r="Z1721" s="247"/>
      <c r="AA1721" s="247"/>
      <c r="AB1721" s="247"/>
      <c r="AC1721" s="247"/>
      <c r="AD1721" s="248"/>
    </row>
    <row r="1722" spans="3:30">
      <c r="C1722"/>
      <c r="T1722" s="247"/>
      <c r="U1722" s="247"/>
      <c r="V1722" s="247"/>
      <c r="W1722" s="247"/>
      <c r="X1722" s="247"/>
      <c r="Y1722" s="247"/>
      <c r="Z1722" s="247"/>
      <c r="AA1722" s="247"/>
      <c r="AB1722" s="247"/>
      <c r="AC1722" s="247"/>
      <c r="AD1722" s="248"/>
    </row>
    <row r="1723" spans="3:30">
      <c r="C1723"/>
      <c r="T1723" s="247"/>
      <c r="U1723" s="247"/>
      <c r="V1723" s="247"/>
      <c r="W1723" s="247"/>
      <c r="X1723" s="247"/>
      <c r="Y1723" s="247"/>
      <c r="Z1723" s="247"/>
      <c r="AA1723" s="247"/>
      <c r="AB1723" s="247"/>
      <c r="AC1723" s="247"/>
      <c r="AD1723" s="248"/>
    </row>
    <row r="1724" spans="3:30">
      <c r="C1724"/>
      <c r="T1724" s="247"/>
      <c r="U1724" s="247"/>
      <c r="V1724" s="247"/>
      <c r="W1724" s="247"/>
      <c r="X1724" s="247"/>
      <c r="Y1724" s="247"/>
      <c r="Z1724" s="247"/>
      <c r="AA1724" s="247"/>
      <c r="AB1724" s="247"/>
      <c r="AC1724" s="247"/>
      <c r="AD1724" s="248"/>
    </row>
    <row r="1725" spans="3:30">
      <c r="C1725"/>
      <c r="T1725" s="247"/>
      <c r="U1725" s="247"/>
      <c r="V1725" s="247"/>
      <c r="W1725" s="247"/>
      <c r="X1725" s="247"/>
      <c r="Y1725" s="247"/>
      <c r="Z1725" s="247"/>
      <c r="AA1725" s="247"/>
      <c r="AB1725" s="247"/>
      <c r="AC1725" s="247"/>
      <c r="AD1725" s="248"/>
    </row>
    <row r="1726" spans="3:30">
      <c r="C1726"/>
      <c r="T1726" s="247"/>
      <c r="U1726" s="247"/>
      <c r="V1726" s="247"/>
      <c r="W1726" s="247"/>
      <c r="X1726" s="247"/>
      <c r="Y1726" s="247"/>
      <c r="Z1726" s="247"/>
      <c r="AA1726" s="247"/>
      <c r="AB1726" s="247"/>
      <c r="AC1726" s="247"/>
      <c r="AD1726" s="248"/>
    </row>
    <row r="1727" spans="3:30">
      <c r="C1727"/>
      <c r="T1727" s="247"/>
      <c r="U1727" s="247"/>
      <c r="V1727" s="247"/>
      <c r="W1727" s="247"/>
      <c r="X1727" s="247"/>
      <c r="Y1727" s="247"/>
      <c r="Z1727" s="247"/>
      <c r="AA1727" s="247"/>
      <c r="AB1727" s="247"/>
      <c r="AC1727" s="247"/>
      <c r="AD1727" s="248"/>
    </row>
    <row r="1728" spans="3:30">
      <c r="C1728"/>
      <c r="T1728" s="247"/>
      <c r="U1728" s="247"/>
      <c r="V1728" s="247"/>
      <c r="W1728" s="247"/>
      <c r="X1728" s="247"/>
      <c r="Y1728" s="247"/>
      <c r="Z1728" s="247"/>
      <c r="AA1728" s="247"/>
      <c r="AB1728" s="247"/>
      <c r="AC1728" s="247"/>
      <c r="AD1728" s="248"/>
    </row>
    <row r="1729" spans="3:30">
      <c r="C1729"/>
      <c r="T1729" s="247"/>
      <c r="U1729" s="247"/>
      <c r="V1729" s="247"/>
      <c r="W1729" s="247"/>
      <c r="X1729" s="247"/>
      <c r="Y1729" s="247"/>
      <c r="Z1729" s="247"/>
      <c r="AA1729" s="247"/>
      <c r="AB1729" s="247"/>
      <c r="AC1729" s="247"/>
      <c r="AD1729" s="248"/>
    </row>
    <row r="1730" spans="3:30">
      <c r="C1730"/>
      <c r="T1730" s="247"/>
      <c r="U1730" s="247"/>
      <c r="V1730" s="247"/>
      <c r="W1730" s="247"/>
      <c r="X1730" s="247"/>
      <c r="Y1730" s="247"/>
      <c r="Z1730" s="247"/>
      <c r="AA1730" s="247"/>
      <c r="AB1730" s="247"/>
      <c r="AC1730" s="247"/>
      <c r="AD1730" s="248"/>
    </row>
    <row r="1731" spans="3:30">
      <c r="C1731"/>
      <c r="T1731" s="247"/>
      <c r="U1731" s="247"/>
      <c r="V1731" s="247"/>
      <c r="W1731" s="247"/>
      <c r="X1731" s="247"/>
      <c r="Y1731" s="247"/>
      <c r="Z1731" s="247"/>
      <c r="AA1731" s="247"/>
      <c r="AB1731" s="247"/>
      <c r="AC1731" s="247"/>
      <c r="AD1731" s="248"/>
    </row>
    <row r="1732" spans="3:30">
      <c r="C1732"/>
      <c r="T1732" s="247"/>
      <c r="U1732" s="247"/>
      <c r="V1732" s="247"/>
      <c r="W1732" s="247"/>
      <c r="X1732" s="247"/>
      <c r="Y1732" s="247"/>
      <c r="Z1732" s="247"/>
      <c r="AA1732" s="247"/>
      <c r="AB1732" s="247"/>
      <c r="AC1732" s="247"/>
      <c r="AD1732" s="248"/>
    </row>
    <row r="1733" spans="3:30">
      <c r="C1733"/>
      <c r="T1733" s="247"/>
      <c r="U1733" s="247"/>
      <c r="V1733" s="247"/>
      <c r="W1733" s="247"/>
      <c r="X1733" s="247"/>
      <c r="Y1733" s="247"/>
      <c r="Z1733" s="247"/>
      <c r="AA1733" s="247"/>
      <c r="AB1733" s="247"/>
      <c r="AC1733" s="247"/>
      <c r="AD1733" s="248"/>
    </row>
    <row r="1734" spans="3:30">
      <c r="C1734"/>
      <c r="T1734" s="247"/>
      <c r="U1734" s="247"/>
      <c r="V1734" s="247"/>
      <c r="W1734" s="247"/>
      <c r="X1734" s="247"/>
      <c r="Y1734" s="247"/>
      <c r="Z1734" s="247"/>
      <c r="AA1734" s="247"/>
      <c r="AB1734" s="247"/>
      <c r="AC1734" s="247"/>
      <c r="AD1734" s="248"/>
    </row>
    <row r="1735" spans="3:30">
      <c r="C1735"/>
      <c r="T1735" s="247"/>
      <c r="U1735" s="247"/>
      <c r="V1735" s="247"/>
      <c r="W1735" s="247"/>
      <c r="X1735" s="247"/>
      <c r="Y1735" s="247"/>
      <c r="Z1735" s="247"/>
      <c r="AA1735" s="247"/>
      <c r="AB1735" s="247"/>
      <c r="AC1735" s="247"/>
      <c r="AD1735" s="248"/>
    </row>
    <row r="1736" spans="3:30">
      <c r="C1736"/>
      <c r="T1736" s="247"/>
      <c r="U1736" s="247"/>
      <c r="V1736" s="247"/>
      <c r="W1736" s="247"/>
      <c r="X1736" s="247"/>
      <c r="Y1736" s="247"/>
      <c r="Z1736" s="247"/>
      <c r="AA1736" s="247"/>
      <c r="AB1736" s="247"/>
      <c r="AC1736" s="247"/>
      <c r="AD1736" s="248"/>
    </row>
    <row r="1737" spans="3:30">
      <c r="C1737"/>
      <c r="T1737" s="247"/>
      <c r="U1737" s="247"/>
      <c r="V1737" s="247"/>
      <c r="W1737" s="247"/>
      <c r="X1737" s="247"/>
      <c r="Y1737" s="247"/>
      <c r="Z1737" s="247"/>
      <c r="AA1737" s="247"/>
      <c r="AB1737" s="247"/>
      <c r="AC1737" s="247"/>
      <c r="AD1737" s="248"/>
    </row>
    <row r="1738" spans="3:30">
      <c r="C1738"/>
      <c r="T1738" s="247"/>
      <c r="U1738" s="247"/>
      <c r="V1738" s="247"/>
      <c r="W1738" s="247"/>
      <c r="X1738" s="247"/>
      <c r="Y1738" s="247"/>
      <c r="Z1738" s="247"/>
      <c r="AA1738" s="247"/>
      <c r="AB1738" s="247"/>
      <c r="AC1738" s="247"/>
      <c r="AD1738" s="248"/>
    </row>
    <row r="1739" spans="3:30">
      <c r="C1739"/>
      <c r="T1739" s="247"/>
      <c r="U1739" s="247"/>
      <c r="V1739" s="247"/>
      <c r="W1739" s="247"/>
      <c r="X1739" s="247"/>
      <c r="Y1739" s="247"/>
      <c r="Z1739" s="247"/>
      <c r="AA1739" s="247"/>
      <c r="AB1739" s="247"/>
      <c r="AC1739" s="247"/>
      <c r="AD1739" s="248"/>
    </row>
    <row r="1740" spans="3:30">
      <c r="C1740"/>
      <c r="T1740" s="247"/>
      <c r="U1740" s="247"/>
      <c r="V1740" s="247"/>
      <c r="W1740" s="247"/>
      <c r="X1740" s="247"/>
      <c r="Y1740" s="247"/>
      <c r="Z1740" s="247"/>
      <c r="AA1740" s="247"/>
      <c r="AB1740" s="247"/>
      <c r="AC1740" s="247"/>
      <c r="AD1740" s="248"/>
    </row>
    <row r="1741" spans="3:30">
      <c r="C1741"/>
      <c r="T1741" s="247"/>
      <c r="U1741" s="247"/>
      <c r="V1741" s="247"/>
      <c r="W1741" s="247"/>
      <c r="X1741" s="247"/>
      <c r="Y1741" s="247"/>
      <c r="Z1741" s="247"/>
      <c r="AA1741" s="247"/>
      <c r="AB1741" s="247"/>
      <c r="AC1741" s="247"/>
      <c r="AD1741" s="248"/>
    </row>
    <row r="1742" spans="3:30">
      <c r="C1742"/>
      <c r="T1742" s="247"/>
      <c r="U1742" s="247"/>
      <c r="V1742" s="247"/>
      <c r="W1742" s="247"/>
      <c r="X1742" s="247"/>
      <c r="Y1742" s="247"/>
      <c r="Z1742" s="247"/>
      <c r="AA1742" s="247"/>
      <c r="AB1742" s="247"/>
      <c r="AC1742" s="247"/>
      <c r="AD1742" s="248"/>
    </row>
    <row r="1743" spans="3:30">
      <c r="C1743"/>
      <c r="T1743" s="247"/>
      <c r="U1743" s="247"/>
      <c r="V1743" s="247"/>
      <c r="W1743" s="247"/>
      <c r="X1743" s="247"/>
      <c r="Y1743" s="247"/>
      <c r="Z1743" s="247"/>
      <c r="AA1743" s="247"/>
      <c r="AB1743" s="247"/>
      <c r="AC1743" s="247"/>
      <c r="AD1743" s="248"/>
    </row>
    <row r="1744" spans="3:30">
      <c r="C1744"/>
      <c r="T1744" s="247"/>
      <c r="U1744" s="247"/>
      <c r="V1744" s="247"/>
      <c r="W1744" s="247"/>
      <c r="X1744" s="247"/>
      <c r="Y1744" s="247"/>
      <c r="Z1744" s="247"/>
      <c r="AA1744" s="247"/>
      <c r="AB1744" s="247"/>
      <c r="AC1744" s="247"/>
      <c r="AD1744" s="248"/>
    </row>
    <row r="1745" spans="3:30">
      <c r="C1745"/>
      <c r="T1745" s="247"/>
      <c r="U1745" s="247"/>
      <c r="V1745" s="247"/>
      <c r="W1745" s="247"/>
      <c r="X1745" s="247"/>
      <c r="Y1745" s="247"/>
      <c r="Z1745" s="247"/>
      <c r="AA1745" s="247"/>
      <c r="AB1745" s="247"/>
      <c r="AC1745" s="247"/>
      <c r="AD1745" s="248"/>
    </row>
    <row r="1746" spans="3:30">
      <c r="C1746"/>
      <c r="T1746" s="247"/>
      <c r="U1746" s="247"/>
      <c r="V1746" s="247"/>
      <c r="W1746" s="247"/>
      <c r="X1746" s="247"/>
      <c r="Y1746" s="247"/>
      <c r="Z1746" s="247"/>
      <c r="AA1746" s="247"/>
      <c r="AB1746" s="247"/>
      <c r="AC1746" s="247"/>
      <c r="AD1746" s="248"/>
    </row>
    <row r="1747" spans="3:30">
      <c r="C1747"/>
      <c r="T1747" s="247"/>
      <c r="U1747" s="247"/>
      <c r="V1747" s="247"/>
      <c r="W1747" s="247"/>
      <c r="X1747" s="247"/>
      <c r="Y1747" s="247"/>
      <c r="Z1747" s="247"/>
      <c r="AA1747" s="247"/>
      <c r="AB1747" s="247"/>
      <c r="AC1747" s="247"/>
      <c r="AD1747" s="248"/>
    </row>
    <row r="1748" spans="3:30">
      <c r="C1748"/>
      <c r="T1748" s="247"/>
      <c r="U1748" s="247"/>
      <c r="V1748" s="247"/>
      <c r="W1748" s="247"/>
      <c r="X1748" s="247"/>
      <c r="Y1748" s="247"/>
      <c r="Z1748" s="247"/>
      <c r="AA1748" s="247"/>
      <c r="AB1748" s="247"/>
      <c r="AC1748" s="247"/>
      <c r="AD1748" s="248"/>
    </row>
    <row r="1749" spans="3:30">
      <c r="C1749"/>
      <c r="T1749" s="247"/>
      <c r="U1749" s="247"/>
      <c r="V1749" s="247"/>
      <c r="W1749" s="247"/>
      <c r="X1749" s="247"/>
      <c r="Y1749" s="247"/>
      <c r="Z1749" s="247"/>
      <c r="AA1749" s="247"/>
      <c r="AB1749" s="247"/>
      <c r="AC1749" s="247"/>
      <c r="AD1749" s="248"/>
    </row>
    <row r="1750" spans="3:30">
      <c r="C1750"/>
      <c r="T1750" s="247"/>
      <c r="U1750" s="247"/>
      <c r="V1750" s="247"/>
      <c r="W1750" s="247"/>
      <c r="X1750" s="247"/>
      <c r="Y1750" s="247"/>
      <c r="Z1750" s="247"/>
      <c r="AA1750" s="247"/>
      <c r="AB1750" s="247"/>
      <c r="AC1750" s="247"/>
      <c r="AD1750" s="248"/>
    </row>
    <row r="1751" spans="3:30">
      <c r="C1751"/>
      <c r="T1751" s="247"/>
      <c r="U1751" s="247"/>
      <c r="V1751" s="247"/>
      <c r="W1751" s="247"/>
      <c r="X1751" s="247"/>
      <c r="Y1751" s="247"/>
      <c r="Z1751" s="247"/>
      <c r="AA1751" s="247"/>
      <c r="AB1751" s="247"/>
      <c r="AC1751" s="247"/>
      <c r="AD1751" s="248"/>
    </row>
    <row r="1752" spans="3:30">
      <c r="C1752"/>
      <c r="T1752" s="247"/>
      <c r="U1752" s="247"/>
      <c r="V1752" s="247"/>
      <c r="W1752" s="247"/>
      <c r="X1752" s="247"/>
      <c r="Y1752" s="247"/>
      <c r="Z1752" s="247"/>
      <c r="AA1752" s="247"/>
      <c r="AB1752" s="247"/>
      <c r="AC1752" s="247"/>
      <c r="AD1752" s="248"/>
    </row>
    <row r="1753" spans="3:30">
      <c r="C1753"/>
      <c r="T1753" s="247"/>
      <c r="U1753" s="247"/>
      <c r="V1753" s="247"/>
      <c r="W1753" s="247"/>
      <c r="X1753" s="247"/>
      <c r="Y1753" s="247"/>
      <c r="Z1753" s="247"/>
      <c r="AA1753" s="247"/>
      <c r="AB1753" s="247"/>
      <c r="AC1753" s="247"/>
      <c r="AD1753" s="248"/>
    </row>
    <row r="1754" spans="3:30">
      <c r="C1754"/>
      <c r="T1754" s="247"/>
      <c r="U1754" s="247"/>
      <c r="V1754" s="247"/>
      <c r="W1754" s="247"/>
      <c r="X1754" s="247"/>
      <c r="Y1754" s="247"/>
      <c r="Z1754" s="247"/>
      <c r="AA1754" s="247"/>
      <c r="AB1754" s="247"/>
      <c r="AC1754" s="247"/>
      <c r="AD1754" s="248"/>
    </row>
    <row r="1755" spans="3:30">
      <c r="C1755"/>
      <c r="T1755" s="247"/>
      <c r="U1755" s="247"/>
      <c r="V1755" s="247"/>
      <c r="W1755" s="247"/>
      <c r="X1755" s="247"/>
      <c r="Y1755" s="247"/>
      <c r="Z1755" s="247"/>
      <c r="AA1755" s="247"/>
      <c r="AB1755" s="247"/>
      <c r="AC1755" s="247"/>
      <c r="AD1755" s="248"/>
    </row>
    <row r="1756" spans="3:30">
      <c r="C1756"/>
      <c r="T1756" s="247"/>
      <c r="U1756" s="247"/>
      <c r="V1756" s="247"/>
      <c r="W1756" s="247"/>
      <c r="X1756" s="247"/>
      <c r="Y1756" s="247"/>
      <c r="Z1756" s="247"/>
      <c r="AA1756" s="247"/>
      <c r="AB1756" s="247"/>
      <c r="AC1756" s="247"/>
      <c r="AD1756" s="248"/>
    </row>
    <row r="1757" spans="3:30">
      <c r="C1757"/>
      <c r="T1757" s="247"/>
      <c r="U1757" s="247"/>
      <c r="V1757" s="247"/>
      <c r="W1757" s="247"/>
      <c r="X1757" s="247"/>
      <c r="Y1757" s="247"/>
      <c r="Z1757" s="247"/>
      <c r="AA1757" s="247"/>
      <c r="AB1757" s="247"/>
      <c r="AC1757" s="247"/>
      <c r="AD1757" s="248"/>
    </row>
    <row r="1758" spans="3:30">
      <c r="C1758"/>
      <c r="T1758" s="247"/>
      <c r="U1758" s="247"/>
      <c r="V1758" s="247"/>
      <c r="W1758" s="247"/>
      <c r="X1758" s="247"/>
      <c r="Y1758" s="247"/>
      <c r="Z1758" s="247"/>
      <c r="AA1758" s="247"/>
      <c r="AB1758" s="247"/>
      <c r="AC1758" s="247"/>
      <c r="AD1758" s="248"/>
    </row>
    <row r="1759" spans="3:30">
      <c r="C1759"/>
      <c r="T1759" s="247"/>
      <c r="U1759" s="247"/>
      <c r="V1759" s="247"/>
      <c r="W1759" s="247"/>
      <c r="X1759" s="247"/>
      <c r="Y1759" s="247"/>
      <c r="Z1759" s="247"/>
      <c r="AA1759" s="247"/>
      <c r="AB1759" s="247"/>
      <c r="AC1759" s="247"/>
      <c r="AD1759" s="248"/>
    </row>
    <row r="1760" spans="3:30">
      <c r="C1760"/>
      <c r="T1760" s="247"/>
      <c r="U1760" s="247"/>
      <c r="V1760" s="247"/>
      <c r="W1760" s="247"/>
      <c r="X1760" s="247"/>
      <c r="Y1760" s="247"/>
      <c r="Z1760" s="247"/>
      <c r="AA1760" s="247"/>
      <c r="AB1760" s="247"/>
      <c r="AC1760" s="247"/>
      <c r="AD1760" s="248"/>
    </row>
    <row r="1761" spans="3:30">
      <c r="C1761"/>
      <c r="T1761" s="247"/>
      <c r="U1761" s="247"/>
      <c r="V1761" s="247"/>
      <c r="W1761" s="247"/>
      <c r="X1761" s="247"/>
      <c r="Y1761" s="247"/>
      <c r="Z1761" s="247"/>
      <c r="AA1761" s="247"/>
      <c r="AB1761" s="247"/>
      <c r="AC1761" s="247"/>
      <c r="AD1761" s="248"/>
    </row>
    <row r="1762" spans="3:30">
      <c r="C1762"/>
      <c r="T1762" s="247"/>
      <c r="U1762" s="247"/>
      <c r="V1762" s="247"/>
      <c r="W1762" s="247"/>
      <c r="X1762" s="247"/>
      <c r="Y1762" s="247"/>
      <c r="Z1762" s="247"/>
      <c r="AA1762" s="247"/>
      <c r="AB1762" s="247"/>
      <c r="AC1762" s="247"/>
      <c r="AD1762" s="248"/>
    </row>
    <row r="1763" spans="3:30">
      <c r="C1763"/>
      <c r="T1763" s="247"/>
      <c r="U1763" s="247"/>
      <c r="V1763" s="247"/>
      <c r="W1763" s="247"/>
      <c r="X1763" s="247"/>
      <c r="Y1763" s="247"/>
      <c r="Z1763" s="247"/>
      <c r="AA1763" s="247"/>
      <c r="AB1763" s="247"/>
      <c r="AC1763" s="247"/>
      <c r="AD1763" s="248"/>
    </row>
    <row r="1764" spans="3:30">
      <c r="C1764"/>
      <c r="T1764" s="247"/>
      <c r="U1764" s="247"/>
      <c r="V1764" s="247"/>
      <c r="W1764" s="247"/>
      <c r="X1764" s="247"/>
      <c r="Y1764" s="247"/>
      <c r="Z1764" s="247"/>
      <c r="AA1764" s="247"/>
      <c r="AB1764" s="247"/>
      <c r="AC1764" s="247"/>
      <c r="AD1764" s="248"/>
    </row>
    <row r="1765" spans="3:30">
      <c r="C1765"/>
      <c r="T1765" s="247"/>
      <c r="U1765" s="247"/>
      <c r="V1765" s="247"/>
      <c r="W1765" s="247"/>
      <c r="X1765" s="247"/>
      <c r="Y1765" s="247"/>
      <c r="Z1765" s="247"/>
      <c r="AA1765" s="247"/>
      <c r="AB1765" s="247"/>
      <c r="AC1765" s="247"/>
      <c r="AD1765" s="248"/>
    </row>
    <row r="1766" spans="3:30">
      <c r="C1766"/>
      <c r="T1766" s="247"/>
      <c r="U1766" s="247"/>
      <c r="V1766" s="247"/>
      <c r="W1766" s="247"/>
      <c r="X1766" s="247"/>
      <c r="Y1766" s="247"/>
      <c r="Z1766" s="247"/>
      <c r="AA1766" s="247"/>
      <c r="AB1766" s="247"/>
      <c r="AC1766" s="247"/>
      <c r="AD1766" s="248"/>
    </row>
    <row r="1767" spans="3:30">
      <c r="C1767"/>
      <c r="T1767" s="247"/>
      <c r="U1767" s="247"/>
      <c r="V1767" s="247"/>
      <c r="W1767" s="247"/>
      <c r="X1767" s="247"/>
      <c r="Y1767" s="247"/>
      <c r="Z1767" s="247"/>
      <c r="AA1767" s="247"/>
      <c r="AB1767" s="247"/>
      <c r="AC1767" s="247"/>
      <c r="AD1767" s="248"/>
    </row>
    <row r="1768" spans="3:30">
      <c r="C1768"/>
      <c r="T1768" s="247"/>
      <c r="U1768" s="247"/>
      <c r="V1768" s="247"/>
      <c r="W1768" s="247"/>
      <c r="X1768" s="247"/>
      <c r="Y1768" s="247"/>
      <c r="Z1768" s="247"/>
      <c r="AA1768" s="247"/>
      <c r="AB1768" s="247"/>
      <c r="AC1768" s="247"/>
      <c r="AD1768" s="248"/>
    </row>
    <row r="1769" spans="3:30">
      <c r="C1769"/>
      <c r="T1769" s="247"/>
      <c r="U1769" s="247"/>
      <c r="V1769" s="247"/>
      <c r="W1769" s="247"/>
      <c r="X1769" s="247"/>
      <c r="Y1769" s="247"/>
      <c r="Z1769" s="247"/>
      <c r="AA1769" s="247"/>
      <c r="AB1769" s="247"/>
      <c r="AC1769" s="247"/>
      <c r="AD1769" s="248"/>
    </row>
    <row r="1770" spans="3:30">
      <c r="C1770"/>
      <c r="T1770" s="247"/>
      <c r="U1770" s="247"/>
      <c r="V1770" s="247"/>
      <c r="W1770" s="247"/>
      <c r="X1770" s="247"/>
      <c r="Y1770" s="247"/>
      <c r="Z1770" s="247"/>
      <c r="AA1770" s="247"/>
      <c r="AB1770" s="247"/>
      <c r="AC1770" s="247"/>
      <c r="AD1770" s="248"/>
    </row>
    <row r="1771" spans="3:30">
      <c r="C1771"/>
      <c r="T1771" s="247"/>
      <c r="U1771" s="247"/>
      <c r="V1771" s="247"/>
      <c r="W1771" s="247"/>
      <c r="X1771" s="247"/>
      <c r="Y1771" s="247"/>
      <c r="Z1771" s="247"/>
      <c r="AA1771" s="247"/>
      <c r="AB1771" s="247"/>
      <c r="AC1771" s="247"/>
      <c r="AD1771" s="248"/>
    </row>
    <row r="1772" spans="3:30">
      <c r="C1772"/>
      <c r="T1772" s="247"/>
      <c r="U1772" s="247"/>
      <c r="V1772" s="247"/>
      <c r="W1772" s="247"/>
      <c r="X1772" s="247"/>
      <c r="Y1772" s="247"/>
      <c r="Z1772" s="247"/>
      <c r="AA1772" s="247"/>
      <c r="AB1772" s="247"/>
      <c r="AC1772" s="247"/>
      <c r="AD1772" s="248"/>
    </row>
    <row r="1773" spans="3:30">
      <c r="C1773"/>
      <c r="T1773" s="247"/>
      <c r="U1773" s="247"/>
      <c r="V1773" s="247"/>
      <c r="W1773" s="247"/>
      <c r="X1773" s="247"/>
      <c r="Y1773" s="247"/>
      <c r="Z1773" s="247"/>
      <c r="AA1773" s="247"/>
      <c r="AB1773" s="247"/>
      <c r="AC1773" s="247"/>
      <c r="AD1773" s="248"/>
    </row>
    <row r="1774" spans="3:30">
      <c r="C1774"/>
      <c r="T1774" s="247"/>
      <c r="U1774" s="247"/>
      <c r="V1774" s="247"/>
      <c r="W1774" s="247"/>
      <c r="X1774" s="247"/>
      <c r="Y1774" s="247"/>
      <c r="Z1774" s="247"/>
      <c r="AA1774" s="247"/>
      <c r="AB1774" s="247"/>
      <c r="AC1774" s="247"/>
      <c r="AD1774" s="248"/>
    </row>
    <row r="1775" spans="3:30">
      <c r="C1775"/>
      <c r="T1775" s="247"/>
      <c r="U1775" s="247"/>
      <c r="V1775" s="247"/>
      <c r="W1775" s="247"/>
      <c r="X1775" s="247"/>
      <c r="Y1775" s="247"/>
      <c r="Z1775" s="247"/>
      <c r="AA1775" s="247"/>
      <c r="AB1775" s="247"/>
      <c r="AC1775" s="247"/>
      <c r="AD1775" s="248"/>
    </row>
    <row r="1776" spans="3:30">
      <c r="C1776"/>
      <c r="T1776" s="247"/>
      <c r="U1776" s="247"/>
      <c r="V1776" s="247"/>
      <c r="W1776" s="247"/>
      <c r="X1776" s="247"/>
      <c r="Y1776" s="247"/>
      <c r="Z1776" s="247"/>
      <c r="AA1776" s="247"/>
      <c r="AB1776" s="247"/>
      <c r="AC1776" s="247"/>
      <c r="AD1776" s="248"/>
    </row>
    <row r="1777" spans="3:30">
      <c r="C1777"/>
      <c r="T1777" s="247"/>
      <c r="U1777" s="247"/>
      <c r="V1777" s="247"/>
      <c r="W1777" s="247"/>
      <c r="X1777" s="247"/>
      <c r="Y1777" s="247"/>
      <c r="Z1777" s="247"/>
      <c r="AA1777" s="247"/>
      <c r="AB1777" s="247"/>
      <c r="AC1777" s="247"/>
      <c r="AD1777" s="248"/>
    </row>
    <row r="1778" spans="3:30">
      <c r="C1778"/>
      <c r="T1778" s="247"/>
      <c r="U1778" s="247"/>
      <c r="V1778" s="247"/>
      <c r="W1778" s="247"/>
      <c r="X1778" s="247"/>
      <c r="Y1778" s="247"/>
      <c r="Z1778" s="247"/>
      <c r="AA1778" s="247"/>
      <c r="AB1778" s="247"/>
      <c r="AC1778" s="247"/>
      <c r="AD1778" s="248"/>
    </row>
    <row r="1779" spans="3:30">
      <c r="C1779"/>
      <c r="T1779" s="247"/>
      <c r="U1779" s="247"/>
      <c r="V1779" s="247"/>
      <c r="W1779" s="247"/>
      <c r="X1779" s="247"/>
      <c r="Y1779" s="247"/>
      <c r="Z1779" s="247"/>
      <c r="AA1779" s="247"/>
      <c r="AB1779" s="247"/>
      <c r="AC1779" s="247"/>
      <c r="AD1779" s="248"/>
    </row>
    <row r="1780" spans="3:30">
      <c r="C1780"/>
      <c r="T1780" s="247"/>
      <c r="U1780" s="247"/>
      <c r="V1780" s="247"/>
      <c r="W1780" s="247"/>
      <c r="X1780" s="247"/>
      <c r="Y1780" s="247"/>
      <c r="Z1780" s="247"/>
      <c r="AA1780" s="247"/>
      <c r="AB1780" s="247"/>
      <c r="AC1780" s="247"/>
      <c r="AD1780" s="248"/>
    </row>
    <row r="1781" spans="3:30">
      <c r="C1781"/>
      <c r="T1781" s="247"/>
      <c r="U1781" s="247"/>
      <c r="V1781" s="247"/>
      <c r="W1781" s="247"/>
      <c r="X1781" s="247"/>
      <c r="Y1781" s="247"/>
      <c r="Z1781" s="247"/>
      <c r="AA1781" s="247"/>
      <c r="AB1781" s="247"/>
      <c r="AC1781" s="247"/>
      <c r="AD1781" s="248"/>
    </row>
    <row r="1782" spans="3:30">
      <c r="C1782"/>
      <c r="T1782" s="247"/>
      <c r="U1782" s="247"/>
      <c r="V1782" s="247"/>
      <c r="W1782" s="247"/>
      <c r="X1782" s="247"/>
      <c r="Y1782" s="247"/>
      <c r="Z1782" s="247"/>
      <c r="AA1782" s="247"/>
      <c r="AB1782" s="247"/>
      <c r="AC1782" s="247"/>
      <c r="AD1782" s="248"/>
    </row>
    <row r="1783" spans="3:30">
      <c r="C1783"/>
      <c r="T1783" s="247"/>
      <c r="U1783" s="247"/>
      <c r="V1783" s="247"/>
      <c r="W1783" s="247"/>
      <c r="X1783" s="247"/>
      <c r="Y1783" s="247"/>
      <c r="Z1783" s="247"/>
      <c r="AA1783" s="247"/>
      <c r="AB1783" s="247"/>
      <c r="AC1783" s="247"/>
      <c r="AD1783" s="248"/>
    </row>
    <row r="1784" spans="3:30">
      <c r="C1784"/>
      <c r="T1784" s="247"/>
      <c r="U1784" s="247"/>
      <c r="V1784" s="247"/>
      <c r="W1784" s="247"/>
      <c r="X1784" s="247"/>
      <c r="Y1784" s="247"/>
      <c r="Z1784" s="247"/>
      <c r="AA1784" s="247"/>
      <c r="AB1784" s="247"/>
      <c r="AC1784" s="247"/>
      <c r="AD1784" s="248"/>
    </row>
    <row r="1785" spans="3:30">
      <c r="C1785"/>
      <c r="T1785" s="247"/>
      <c r="U1785" s="247"/>
      <c r="V1785" s="247"/>
      <c r="W1785" s="247"/>
      <c r="X1785" s="247"/>
      <c r="Y1785" s="247"/>
      <c r="Z1785" s="247"/>
      <c r="AA1785" s="247"/>
      <c r="AB1785" s="247"/>
      <c r="AC1785" s="247"/>
      <c r="AD1785" s="248"/>
    </row>
    <row r="1786" spans="3:30">
      <c r="C1786"/>
      <c r="T1786" s="247"/>
      <c r="U1786" s="247"/>
      <c r="V1786" s="247"/>
      <c r="W1786" s="247"/>
      <c r="X1786" s="247"/>
      <c r="Y1786" s="247"/>
      <c r="Z1786" s="247"/>
      <c r="AA1786" s="247"/>
      <c r="AB1786" s="247"/>
      <c r="AC1786" s="247"/>
      <c r="AD1786" s="248"/>
    </row>
    <row r="1787" spans="3:30">
      <c r="C1787"/>
      <c r="T1787" s="247"/>
      <c r="U1787" s="247"/>
      <c r="V1787" s="247"/>
      <c r="W1787" s="247"/>
      <c r="X1787" s="247"/>
      <c r="Y1787" s="247"/>
      <c r="Z1787" s="247"/>
      <c r="AA1787" s="247"/>
      <c r="AB1787" s="247"/>
      <c r="AC1787" s="247"/>
      <c r="AD1787" s="248"/>
    </row>
    <row r="1788" spans="3:30">
      <c r="C1788"/>
      <c r="T1788" s="247"/>
      <c r="U1788" s="247"/>
      <c r="V1788" s="247"/>
      <c r="W1788" s="247"/>
      <c r="X1788" s="247"/>
      <c r="Y1788" s="247"/>
      <c r="Z1788" s="247"/>
      <c r="AA1788" s="247"/>
      <c r="AB1788" s="247"/>
      <c r="AC1788" s="247"/>
      <c r="AD1788" s="248"/>
    </row>
    <row r="1789" spans="3:30">
      <c r="C1789"/>
      <c r="T1789" s="247"/>
      <c r="U1789" s="247"/>
      <c r="V1789" s="247"/>
      <c r="W1789" s="247"/>
      <c r="X1789" s="247"/>
      <c r="Y1789" s="247"/>
      <c r="Z1789" s="247"/>
      <c r="AA1789" s="247"/>
      <c r="AB1789" s="247"/>
      <c r="AC1789" s="247"/>
      <c r="AD1789" s="248"/>
    </row>
    <row r="1790" spans="3:30">
      <c r="C1790"/>
      <c r="T1790" s="247"/>
      <c r="U1790" s="247"/>
      <c r="V1790" s="247"/>
      <c r="W1790" s="247"/>
      <c r="X1790" s="247"/>
      <c r="Y1790" s="247"/>
      <c r="Z1790" s="247"/>
      <c r="AA1790" s="247"/>
      <c r="AB1790" s="247"/>
      <c r="AC1790" s="247"/>
      <c r="AD1790" s="248"/>
    </row>
    <row r="1791" spans="3:30">
      <c r="C1791"/>
      <c r="T1791" s="247"/>
      <c r="U1791" s="247"/>
      <c r="V1791" s="247"/>
      <c r="W1791" s="247"/>
      <c r="X1791" s="247"/>
      <c r="Y1791" s="247"/>
      <c r="Z1791" s="247"/>
      <c r="AA1791" s="247"/>
      <c r="AB1791" s="247"/>
      <c r="AC1791" s="247"/>
      <c r="AD1791" s="248"/>
    </row>
    <row r="1792" spans="3:30">
      <c r="C1792"/>
      <c r="T1792" s="247"/>
      <c r="U1792" s="247"/>
      <c r="V1792" s="247"/>
      <c r="W1792" s="247"/>
      <c r="X1792" s="247"/>
      <c r="Y1792" s="247"/>
      <c r="Z1792" s="247"/>
      <c r="AA1792" s="247"/>
      <c r="AB1792" s="247"/>
      <c r="AC1792" s="247"/>
      <c r="AD1792" s="248"/>
    </row>
    <row r="1793" spans="3:30">
      <c r="C1793"/>
      <c r="T1793" s="247"/>
      <c r="U1793" s="247"/>
      <c r="V1793" s="247"/>
      <c r="W1793" s="247"/>
      <c r="X1793" s="247"/>
      <c r="Y1793" s="247"/>
      <c r="Z1793" s="247"/>
      <c r="AA1793" s="247"/>
      <c r="AB1793" s="247"/>
      <c r="AC1793" s="247"/>
      <c r="AD1793" s="248"/>
    </row>
    <row r="1794" spans="3:30">
      <c r="C1794"/>
      <c r="T1794" s="247"/>
      <c r="U1794" s="247"/>
      <c r="V1794" s="247"/>
      <c r="W1794" s="247"/>
      <c r="X1794" s="247"/>
      <c r="Y1794" s="247"/>
      <c r="Z1794" s="247"/>
      <c r="AA1794" s="247"/>
      <c r="AB1794" s="247"/>
      <c r="AC1794" s="247"/>
      <c r="AD1794" s="248"/>
    </row>
    <row r="1795" spans="3:30">
      <c r="C1795"/>
      <c r="T1795" s="247"/>
      <c r="U1795" s="247"/>
      <c r="V1795" s="247"/>
      <c r="W1795" s="247"/>
      <c r="X1795" s="247"/>
      <c r="Y1795" s="247"/>
      <c r="Z1795" s="247"/>
      <c r="AA1795" s="247"/>
      <c r="AB1795" s="247"/>
      <c r="AC1795" s="247"/>
      <c r="AD1795" s="248"/>
    </row>
    <row r="1796" spans="3:30">
      <c r="C1796"/>
      <c r="T1796" s="247"/>
      <c r="U1796" s="247"/>
      <c r="V1796" s="247"/>
      <c r="W1796" s="247"/>
      <c r="X1796" s="247"/>
      <c r="Y1796" s="247"/>
      <c r="Z1796" s="247"/>
      <c r="AA1796" s="247"/>
      <c r="AB1796" s="247"/>
      <c r="AC1796" s="247"/>
      <c r="AD1796" s="248"/>
    </row>
    <row r="1797" spans="3:30">
      <c r="C1797"/>
      <c r="T1797" s="247"/>
      <c r="U1797" s="247"/>
      <c r="V1797" s="247"/>
      <c r="W1797" s="247"/>
      <c r="X1797" s="247"/>
      <c r="Y1797" s="247"/>
      <c r="Z1797" s="247"/>
      <c r="AA1797" s="247"/>
      <c r="AB1797" s="247"/>
      <c r="AC1797" s="247"/>
      <c r="AD1797" s="248"/>
    </row>
    <row r="1798" spans="3:30">
      <c r="C1798"/>
      <c r="T1798" s="247"/>
      <c r="U1798" s="247"/>
      <c r="V1798" s="247"/>
      <c r="W1798" s="247"/>
      <c r="X1798" s="247"/>
      <c r="Y1798" s="247"/>
      <c r="Z1798" s="247"/>
      <c r="AA1798" s="247"/>
      <c r="AB1798" s="247"/>
      <c r="AC1798" s="247"/>
      <c r="AD1798" s="248"/>
    </row>
    <row r="1799" spans="3:30">
      <c r="C1799"/>
      <c r="T1799" s="247"/>
      <c r="U1799" s="247"/>
      <c r="V1799" s="247"/>
      <c r="W1799" s="247"/>
      <c r="X1799" s="247"/>
      <c r="Y1799" s="247"/>
      <c r="Z1799" s="247"/>
      <c r="AA1799" s="247"/>
      <c r="AB1799" s="247"/>
      <c r="AC1799" s="247"/>
      <c r="AD1799" s="248"/>
    </row>
    <row r="1800" spans="3:30">
      <c r="C1800"/>
      <c r="T1800" s="247"/>
      <c r="U1800" s="247"/>
      <c r="V1800" s="247"/>
      <c r="W1800" s="247"/>
      <c r="X1800" s="247"/>
      <c r="Y1800" s="247"/>
      <c r="Z1800" s="247"/>
      <c r="AA1800" s="247"/>
      <c r="AB1800" s="247"/>
      <c r="AC1800" s="247"/>
      <c r="AD1800" s="248"/>
    </row>
    <row r="1801" spans="3:30">
      <c r="C1801"/>
      <c r="T1801" s="247"/>
      <c r="U1801" s="247"/>
      <c r="V1801" s="247"/>
      <c r="W1801" s="247"/>
      <c r="X1801" s="247"/>
      <c r="Y1801" s="247"/>
      <c r="Z1801" s="247"/>
      <c r="AA1801" s="247"/>
      <c r="AB1801" s="247"/>
      <c r="AC1801" s="247"/>
      <c r="AD1801" s="248"/>
    </row>
    <row r="1802" spans="3:30">
      <c r="C1802"/>
      <c r="T1802" s="247"/>
      <c r="U1802" s="247"/>
      <c r="V1802" s="247"/>
      <c r="W1802" s="247"/>
      <c r="X1802" s="247"/>
      <c r="Y1802" s="247"/>
      <c r="Z1802" s="247"/>
      <c r="AA1802" s="247"/>
      <c r="AB1802" s="247"/>
      <c r="AC1802" s="247"/>
      <c r="AD1802" s="248"/>
    </row>
    <row r="1803" spans="3:30">
      <c r="C1803"/>
      <c r="T1803" s="247"/>
      <c r="U1803" s="247"/>
      <c r="V1803" s="247"/>
      <c r="W1803" s="247"/>
      <c r="X1803" s="247"/>
      <c r="Y1803" s="247"/>
      <c r="Z1803" s="247"/>
      <c r="AA1803" s="247"/>
      <c r="AB1803" s="247"/>
      <c r="AC1803" s="247"/>
      <c r="AD1803" s="248"/>
    </row>
    <row r="1804" spans="3:30">
      <c r="C1804"/>
      <c r="T1804" s="247"/>
      <c r="U1804" s="247"/>
      <c r="V1804" s="247"/>
      <c r="W1804" s="247"/>
      <c r="X1804" s="247"/>
      <c r="Y1804" s="247"/>
      <c r="Z1804" s="247"/>
      <c r="AA1804" s="247"/>
      <c r="AB1804" s="247"/>
      <c r="AC1804" s="247"/>
      <c r="AD1804" s="248"/>
    </row>
    <row r="1805" spans="3:30">
      <c r="C1805"/>
    </row>
    <row r="1806" spans="3:30">
      <c r="C1806"/>
    </row>
    <row r="1807" spans="3:30">
      <c r="C1807"/>
    </row>
    <row r="1808" spans="3:30">
      <c r="C1808"/>
    </row>
    <row r="1809" spans="3:3">
      <c r="C1809"/>
    </row>
    <row r="1810" spans="3:3">
      <c r="C1810"/>
    </row>
    <row r="1811" spans="3:3">
      <c r="C1811"/>
    </row>
    <row r="1812" spans="3:3">
      <c r="C1812"/>
    </row>
    <row r="1813" spans="3:3">
      <c r="C1813"/>
    </row>
    <row r="1814" spans="3:3">
      <c r="C1814"/>
    </row>
    <row r="1815" spans="3:3">
      <c r="C1815"/>
    </row>
    <row r="1816" spans="3:3">
      <c r="C1816"/>
    </row>
    <row r="1817" spans="3:3">
      <c r="C1817"/>
    </row>
    <row r="1818" spans="3:3">
      <c r="C1818"/>
    </row>
    <row r="1819" spans="3:3">
      <c r="C1819"/>
    </row>
    <row r="1820" spans="3:3">
      <c r="C1820"/>
    </row>
    <row r="1821" spans="3:3">
      <c r="C1821"/>
    </row>
    <row r="1822" spans="3:3">
      <c r="C1822"/>
    </row>
    <row r="1823" spans="3:3">
      <c r="C1823"/>
    </row>
    <row r="1824" spans="3:3">
      <c r="C1824"/>
    </row>
    <row r="1825" spans="3:3">
      <c r="C1825"/>
    </row>
    <row r="1826" spans="3:3">
      <c r="C1826"/>
    </row>
    <row r="1827" spans="3:3">
      <c r="C1827"/>
    </row>
    <row r="1828" spans="3:3">
      <c r="C1828"/>
    </row>
    <row r="1829" spans="3:3">
      <c r="C1829"/>
    </row>
    <row r="1830" spans="3:3">
      <c r="C1830"/>
    </row>
    <row r="1831" spans="3:3">
      <c r="C1831"/>
    </row>
    <row r="1832" spans="3:3">
      <c r="C1832"/>
    </row>
    <row r="1833" spans="3:3">
      <c r="C1833"/>
    </row>
    <row r="1834" spans="3:3">
      <c r="C1834"/>
    </row>
    <row r="1835" spans="3:3">
      <c r="C1835"/>
    </row>
    <row r="1836" spans="3:3">
      <c r="C1836"/>
    </row>
    <row r="1837" spans="3:3">
      <c r="C1837"/>
    </row>
    <row r="1838" spans="3:3">
      <c r="C1838"/>
    </row>
    <row r="1839" spans="3:3">
      <c r="C1839"/>
    </row>
    <row r="1840" spans="3:3">
      <c r="C1840"/>
    </row>
    <row r="1841" spans="3:3">
      <c r="C1841"/>
    </row>
    <row r="1842" spans="3:3">
      <c r="C1842"/>
    </row>
    <row r="1843" spans="3:3">
      <c r="C1843"/>
    </row>
    <row r="1844" spans="3:3">
      <c r="C1844"/>
    </row>
    <row r="1845" spans="3:3">
      <c r="C1845"/>
    </row>
    <row r="1846" spans="3:3">
      <c r="C1846"/>
    </row>
    <row r="1847" spans="3:3">
      <c r="C1847"/>
    </row>
    <row r="1848" spans="3:3">
      <c r="C1848"/>
    </row>
    <row r="1849" spans="3:3">
      <c r="C1849"/>
    </row>
    <row r="1850" spans="3:3">
      <c r="C1850"/>
    </row>
    <row r="1851" spans="3:3">
      <c r="C1851"/>
    </row>
    <row r="1852" spans="3:3">
      <c r="C1852"/>
    </row>
    <row r="1853" spans="3:3">
      <c r="C1853"/>
    </row>
    <row r="1854" spans="3:3">
      <c r="C1854"/>
    </row>
    <row r="1855" spans="3:3">
      <c r="C1855"/>
    </row>
    <row r="1856" spans="3:3">
      <c r="C1856"/>
    </row>
    <row r="1857" spans="3:3">
      <c r="C1857"/>
    </row>
    <row r="1858" spans="3:3">
      <c r="C1858"/>
    </row>
    <row r="1859" spans="3:3">
      <c r="C1859"/>
    </row>
    <row r="1860" spans="3:3">
      <c r="C1860"/>
    </row>
    <row r="1861" spans="3:3">
      <c r="C1861"/>
    </row>
    <row r="1862" spans="3:3">
      <c r="C1862"/>
    </row>
    <row r="1863" spans="3:3">
      <c r="C1863"/>
    </row>
    <row r="1864" spans="3:3">
      <c r="C1864"/>
    </row>
    <row r="1865" spans="3:3">
      <c r="C1865"/>
    </row>
    <row r="1866" spans="3:3">
      <c r="C1866"/>
    </row>
    <row r="1867" spans="3:3">
      <c r="C1867"/>
    </row>
    <row r="1868" spans="3:3">
      <c r="C1868"/>
    </row>
    <row r="1869" spans="3:3">
      <c r="C1869"/>
    </row>
    <row r="1870" spans="3:3">
      <c r="C1870"/>
    </row>
    <row r="1871" spans="3:3">
      <c r="C1871"/>
    </row>
    <row r="1872" spans="3:3">
      <c r="C1872"/>
    </row>
    <row r="1873" spans="3:3">
      <c r="C1873"/>
    </row>
    <row r="1874" spans="3:3">
      <c r="C1874"/>
    </row>
    <row r="1875" spans="3:3">
      <c r="C1875"/>
    </row>
    <row r="1876" spans="3:3">
      <c r="C1876"/>
    </row>
    <row r="1877" spans="3:3">
      <c r="C1877"/>
    </row>
    <row r="1878" spans="3:3">
      <c r="C1878"/>
    </row>
    <row r="1879" spans="3:3">
      <c r="C1879"/>
    </row>
    <row r="1880" spans="3:3">
      <c r="C1880"/>
    </row>
    <row r="1881" spans="3:3">
      <c r="C1881"/>
    </row>
    <row r="1882" spans="3:3">
      <c r="C1882"/>
    </row>
    <row r="1883" spans="3:3">
      <c r="C1883"/>
    </row>
    <row r="1884" spans="3:3">
      <c r="C1884"/>
    </row>
    <row r="1885" spans="3:3">
      <c r="C1885"/>
    </row>
    <row r="1886" spans="3:3">
      <c r="C1886"/>
    </row>
    <row r="1887" spans="3:3">
      <c r="C1887"/>
    </row>
    <row r="1888" spans="3:3">
      <c r="C1888"/>
    </row>
    <row r="1889" spans="3:3">
      <c r="C1889"/>
    </row>
    <row r="1890" spans="3:3">
      <c r="C1890"/>
    </row>
    <row r="1891" spans="3:3">
      <c r="C1891"/>
    </row>
    <row r="1892" spans="3:3">
      <c r="C1892"/>
    </row>
    <row r="1893" spans="3:3">
      <c r="C1893"/>
    </row>
    <row r="1894" spans="3:3">
      <c r="C1894"/>
    </row>
    <row r="1895" spans="3:3">
      <c r="C1895"/>
    </row>
    <row r="1896" spans="3:3">
      <c r="C1896"/>
    </row>
    <row r="1897" spans="3:3">
      <c r="C1897"/>
    </row>
    <row r="1898" spans="3:3">
      <c r="C1898"/>
    </row>
    <row r="1899" spans="3:3">
      <c r="C1899"/>
    </row>
    <row r="1900" spans="3:3">
      <c r="C1900"/>
    </row>
    <row r="1901" spans="3:3">
      <c r="C1901"/>
    </row>
    <row r="1902" spans="3:3">
      <c r="C1902"/>
    </row>
    <row r="1903" spans="3:3">
      <c r="C1903"/>
    </row>
    <row r="1904" spans="3:3">
      <c r="C1904"/>
    </row>
    <row r="1905" spans="3:3">
      <c r="C1905"/>
    </row>
    <row r="1906" spans="3:3">
      <c r="C1906"/>
    </row>
    <row r="1907" spans="3:3">
      <c r="C1907"/>
    </row>
    <row r="1908" spans="3:3">
      <c r="C1908"/>
    </row>
    <row r="1909" spans="3:3">
      <c r="C1909"/>
    </row>
    <row r="1910" spans="3:3">
      <c r="C1910"/>
    </row>
    <row r="1911" spans="3:3">
      <c r="C1911"/>
    </row>
    <row r="1912" spans="3:3">
      <c r="C1912"/>
    </row>
    <row r="1913" spans="3:3">
      <c r="C1913"/>
    </row>
    <row r="1914" spans="3:3">
      <c r="C1914"/>
    </row>
    <row r="1915" spans="3:3">
      <c r="C1915"/>
    </row>
    <row r="1916" spans="3:3">
      <c r="C1916"/>
    </row>
    <row r="1917" spans="3:3">
      <c r="C1917"/>
    </row>
    <row r="1918" spans="3:3">
      <c r="C1918"/>
    </row>
    <row r="1919" spans="3:3">
      <c r="C1919"/>
    </row>
    <row r="1920" spans="3:3">
      <c r="C1920"/>
    </row>
    <row r="1921" spans="3:3">
      <c r="C1921"/>
    </row>
    <row r="1922" spans="3:3">
      <c r="C1922"/>
    </row>
    <row r="1923" spans="3:3">
      <c r="C1923"/>
    </row>
    <row r="1924" spans="3:3">
      <c r="C1924"/>
    </row>
    <row r="1925" spans="3:3">
      <c r="C1925"/>
    </row>
    <row r="1926" spans="3:3">
      <c r="C1926"/>
    </row>
    <row r="1927" spans="3:3">
      <c r="C1927"/>
    </row>
    <row r="1928" spans="3:3">
      <c r="C1928"/>
    </row>
    <row r="1929" spans="3:3">
      <c r="C1929"/>
    </row>
    <row r="1930" spans="3:3">
      <c r="C1930"/>
    </row>
    <row r="1931" spans="3:3">
      <c r="C1931"/>
    </row>
    <row r="1932" spans="3:3">
      <c r="C1932"/>
    </row>
    <row r="1933" spans="3:3">
      <c r="C1933"/>
    </row>
    <row r="1934" spans="3:3">
      <c r="C1934"/>
    </row>
    <row r="1935" spans="3:3">
      <c r="C1935"/>
    </row>
    <row r="1936" spans="3:3">
      <c r="C1936"/>
    </row>
    <row r="1937" spans="3:3">
      <c r="C1937"/>
    </row>
    <row r="1938" spans="3:3">
      <c r="C1938"/>
    </row>
    <row r="1939" spans="3:3">
      <c r="C1939"/>
    </row>
    <row r="1940" spans="3:3">
      <c r="C1940"/>
    </row>
    <row r="1941" spans="3:3">
      <c r="C1941"/>
    </row>
    <row r="1942" spans="3:3">
      <c r="C1942"/>
    </row>
    <row r="1943" spans="3:3">
      <c r="C1943"/>
    </row>
    <row r="1944" spans="3:3">
      <c r="C1944"/>
    </row>
    <row r="1945" spans="3:3">
      <c r="C1945"/>
    </row>
    <row r="1946" spans="3:3">
      <c r="C1946"/>
    </row>
    <row r="1947" spans="3:3">
      <c r="C1947"/>
    </row>
    <row r="1948" spans="3:3">
      <c r="C1948"/>
    </row>
    <row r="1949" spans="3:3">
      <c r="C1949"/>
    </row>
    <row r="1950" spans="3:3">
      <c r="C1950"/>
    </row>
    <row r="1951" spans="3:3">
      <c r="C1951"/>
    </row>
    <row r="1952" spans="3:3">
      <c r="C1952"/>
    </row>
    <row r="1953" spans="3:3">
      <c r="C1953"/>
    </row>
    <row r="1954" spans="3:3">
      <c r="C1954"/>
    </row>
    <row r="1955" spans="3:3">
      <c r="C1955"/>
    </row>
    <row r="1956" spans="3:3">
      <c r="C1956"/>
    </row>
    <row r="1957" spans="3:3">
      <c r="C1957"/>
    </row>
    <row r="1958" spans="3:3">
      <c r="C1958"/>
    </row>
    <row r="1959" spans="3:3">
      <c r="C1959"/>
    </row>
    <row r="1960" spans="3:3">
      <c r="C1960"/>
    </row>
    <row r="1961" spans="3:3">
      <c r="C1961"/>
    </row>
    <row r="1962" spans="3:3">
      <c r="C1962"/>
    </row>
    <row r="1963" spans="3:3">
      <c r="C1963"/>
    </row>
    <row r="1964" spans="3:3">
      <c r="C1964"/>
    </row>
    <row r="1965" spans="3:3">
      <c r="C1965"/>
    </row>
    <row r="1966" spans="3:3">
      <c r="C1966"/>
    </row>
    <row r="1967" spans="3:3">
      <c r="C1967"/>
    </row>
    <row r="1968" spans="3:3">
      <c r="C1968"/>
    </row>
    <row r="1969" spans="3:3">
      <c r="C1969"/>
    </row>
    <row r="1970" spans="3:3">
      <c r="C1970"/>
    </row>
    <row r="1971" spans="3:3">
      <c r="C1971"/>
    </row>
    <row r="1972" spans="3:3">
      <c r="C1972"/>
    </row>
    <row r="1973" spans="3:3">
      <c r="C1973"/>
    </row>
    <row r="1974" spans="3:3">
      <c r="C1974"/>
    </row>
    <row r="1975" spans="3:3">
      <c r="C1975"/>
    </row>
    <row r="1976" spans="3:3">
      <c r="C1976"/>
    </row>
    <row r="1977" spans="3:3">
      <c r="C1977"/>
    </row>
    <row r="1978" spans="3:3">
      <c r="C1978"/>
    </row>
    <row r="1979" spans="3:3">
      <c r="C1979"/>
    </row>
    <row r="1980" spans="3:3">
      <c r="C1980"/>
    </row>
    <row r="1981" spans="3:3">
      <c r="C1981"/>
    </row>
    <row r="1982" spans="3:3">
      <c r="C1982"/>
    </row>
    <row r="1983" spans="3:3">
      <c r="C1983"/>
    </row>
    <row r="1984" spans="3:3">
      <c r="C1984"/>
    </row>
    <row r="1985" spans="3:3">
      <c r="C1985"/>
    </row>
    <row r="1986" spans="3:3">
      <c r="C1986"/>
    </row>
    <row r="1987" spans="3:3">
      <c r="C1987"/>
    </row>
    <row r="1988" spans="3:3">
      <c r="C1988"/>
    </row>
    <row r="1989" spans="3:3">
      <c r="C1989"/>
    </row>
    <row r="1990" spans="3:3">
      <c r="C1990"/>
    </row>
    <row r="1991" spans="3:3">
      <c r="C1991"/>
    </row>
    <row r="1992" spans="3:3">
      <c r="C1992"/>
    </row>
    <row r="1993" spans="3:3">
      <c r="C1993"/>
    </row>
    <row r="1994" spans="3:3">
      <c r="C1994"/>
    </row>
    <row r="1995" spans="3:3">
      <c r="C1995"/>
    </row>
    <row r="1996" spans="3:3">
      <c r="C1996"/>
    </row>
    <row r="1997" spans="3:3">
      <c r="C1997"/>
    </row>
    <row r="1998" spans="3:3">
      <c r="C1998"/>
    </row>
    <row r="1999" spans="3:3">
      <c r="C1999"/>
    </row>
    <row r="2000" spans="3:3">
      <c r="C2000"/>
    </row>
    <row r="2001" spans="3:3">
      <c r="C2001"/>
    </row>
    <row r="2002" spans="3:3">
      <c r="C2002"/>
    </row>
    <row r="2003" spans="3:3">
      <c r="C2003"/>
    </row>
    <row r="2004" spans="3:3">
      <c r="C2004"/>
    </row>
    <row r="2005" spans="3:3">
      <c r="C2005"/>
    </row>
    <row r="2006" spans="3:3">
      <c r="C2006"/>
    </row>
    <row r="2007" spans="3:3">
      <c r="C2007"/>
    </row>
    <row r="2008" spans="3:3">
      <c r="C2008"/>
    </row>
    <row r="2009" spans="3:3">
      <c r="C2009"/>
    </row>
    <row r="2010" spans="3:3">
      <c r="C2010"/>
    </row>
    <row r="2011" spans="3:3">
      <c r="C2011"/>
    </row>
    <row r="2012" spans="3:3">
      <c r="C2012"/>
    </row>
    <row r="2013" spans="3:3">
      <c r="C2013"/>
    </row>
    <row r="2014" spans="3:3">
      <c r="C2014"/>
    </row>
    <row r="2015" spans="3:3">
      <c r="C2015"/>
    </row>
    <row r="2016" spans="3:3">
      <c r="C2016"/>
    </row>
    <row r="2017" spans="3:3">
      <c r="C2017"/>
    </row>
    <row r="2018" spans="3:3">
      <c r="C2018"/>
    </row>
    <row r="2019" spans="3:3">
      <c r="C2019"/>
    </row>
    <row r="2020" spans="3:3">
      <c r="C2020"/>
    </row>
    <row r="2021" spans="3:3">
      <c r="C2021"/>
    </row>
    <row r="2022" spans="3:3">
      <c r="C2022"/>
    </row>
    <row r="2023" spans="3:3">
      <c r="C2023"/>
    </row>
    <row r="2024" spans="3:3">
      <c r="C2024"/>
    </row>
    <row r="2025" spans="3:3">
      <c r="C2025"/>
    </row>
    <row r="2026" spans="3:3">
      <c r="C2026"/>
    </row>
    <row r="2027" spans="3:3">
      <c r="C2027"/>
    </row>
    <row r="2028" spans="3:3">
      <c r="C2028"/>
    </row>
    <row r="2029" spans="3:3">
      <c r="C2029"/>
    </row>
    <row r="2030" spans="3:3">
      <c r="C2030"/>
    </row>
    <row r="2031" spans="3:3">
      <c r="C2031"/>
    </row>
    <row r="2032" spans="3:3">
      <c r="C2032"/>
    </row>
    <row r="2033" spans="3:3">
      <c r="C2033"/>
    </row>
    <row r="2034" spans="3:3">
      <c r="C2034"/>
    </row>
    <row r="2035" spans="3:3">
      <c r="C2035"/>
    </row>
    <row r="2036" spans="3:3">
      <c r="C2036"/>
    </row>
    <row r="2037" spans="3:3">
      <c r="C2037"/>
    </row>
    <row r="2038" spans="3:3">
      <c r="C2038"/>
    </row>
    <row r="2039" spans="3:3">
      <c r="C2039"/>
    </row>
    <row r="2040" spans="3:3">
      <c r="C2040"/>
    </row>
    <row r="2041" spans="3:3">
      <c r="C2041"/>
    </row>
    <row r="2042" spans="3:3">
      <c r="C2042"/>
    </row>
    <row r="2043" spans="3:3">
      <c r="C2043"/>
    </row>
    <row r="2044" spans="3:3">
      <c r="C2044"/>
    </row>
    <row r="2045" spans="3:3">
      <c r="C2045"/>
    </row>
    <row r="2046" spans="3:3">
      <c r="C2046"/>
    </row>
    <row r="2047" spans="3:3">
      <c r="C2047"/>
    </row>
    <row r="2048" spans="3:3">
      <c r="C2048"/>
    </row>
    <row r="2049" spans="3:3">
      <c r="C2049"/>
    </row>
    <row r="2050" spans="3:3">
      <c r="C2050"/>
    </row>
    <row r="2051" spans="3:3">
      <c r="C2051"/>
    </row>
    <row r="2052" spans="3:3">
      <c r="C2052"/>
    </row>
    <row r="2053" spans="3:3">
      <c r="C2053"/>
    </row>
    <row r="2054" spans="3:3">
      <c r="C2054"/>
    </row>
    <row r="2055" spans="3:3">
      <c r="C2055"/>
    </row>
    <row r="2056" spans="3:3">
      <c r="C2056"/>
    </row>
    <row r="2057" spans="3:3">
      <c r="C2057"/>
    </row>
    <row r="2058" spans="3:3">
      <c r="C2058"/>
    </row>
    <row r="2059" spans="3:3">
      <c r="C2059"/>
    </row>
    <row r="2060" spans="3:3">
      <c r="C2060"/>
    </row>
    <row r="2061" spans="3:3">
      <c r="C2061"/>
    </row>
    <row r="2062" spans="3:3">
      <c r="C2062"/>
    </row>
    <row r="2063" spans="3:3">
      <c r="C2063"/>
    </row>
    <row r="2064" spans="3:3">
      <c r="C2064"/>
    </row>
    <row r="2065" spans="3:3">
      <c r="C2065"/>
    </row>
    <row r="2066" spans="3:3">
      <c r="C2066"/>
    </row>
    <row r="2067" spans="3:3">
      <c r="C2067"/>
    </row>
    <row r="2068" spans="3:3">
      <c r="C2068"/>
    </row>
    <row r="2069" spans="3:3">
      <c r="C2069"/>
    </row>
    <row r="2070" spans="3:3">
      <c r="C2070"/>
    </row>
    <row r="2071" spans="3:3">
      <c r="C2071"/>
    </row>
    <row r="2072" spans="3:3">
      <c r="C2072"/>
    </row>
    <row r="2073" spans="3:3">
      <c r="C2073"/>
    </row>
    <row r="2074" spans="3:3">
      <c r="C2074"/>
    </row>
    <row r="2075" spans="3:3">
      <c r="C2075"/>
    </row>
    <row r="2076" spans="3:3">
      <c r="C2076"/>
    </row>
    <row r="2077" spans="3:3">
      <c r="C2077"/>
    </row>
    <row r="2078" spans="3:3">
      <c r="C2078"/>
    </row>
    <row r="2079" spans="3:3">
      <c r="C2079"/>
    </row>
    <row r="2080" spans="3:3">
      <c r="C2080"/>
    </row>
    <row r="2081" spans="3:3">
      <c r="C2081"/>
    </row>
    <row r="2082" spans="3:3">
      <c r="C2082"/>
    </row>
    <row r="2083" spans="3:3">
      <c r="C2083"/>
    </row>
    <row r="2084" spans="3:3">
      <c r="C2084"/>
    </row>
    <row r="2085" spans="3:3">
      <c r="C2085"/>
    </row>
    <row r="2086" spans="3:3">
      <c r="C2086"/>
    </row>
    <row r="2087" spans="3:3">
      <c r="C2087"/>
    </row>
    <row r="2088" spans="3:3">
      <c r="C2088"/>
    </row>
    <row r="2089" spans="3:3">
      <c r="C2089"/>
    </row>
    <row r="2090" spans="3:3">
      <c r="C2090"/>
    </row>
    <row r="2091" spans="3:3">
      <c r="C2091"/>
    </row>
    <row r="2092" spans="3:3">
      <c r="C2092"/>
    </row>
    <row r="2093" spans="3:3">
      <c r="C2093"/>
    </row>
    <row r="2094" spans="3:3">
      <c r="C2094"/>
    </row>
    <row r="2095" spans="3:3">
      <c r="C2095"/>
    </row>
    <row r="2096" spans="3:3">
      <c r="C2096"/>
    </row>
    <row r="2097" spans="3:3">
      <c r="C2097"/>
    </row>
    <row r="2098" spans="3:3">
      <c r="C2098"/>
    </row>
    <row r="2099" spans="3:3">
      <c r="C2099"/>
    </row>
    <row r="2100" spans="3:3">
      <c r="C2100"/>
    </row>
    <row r="2101" spans="3:3">
      <c r="C2101"/>
    </row>
    <row r="2102" spans="3:3">
      <c r="C2102"/>
    </row>
    <row r="2103" spans="3:3">
      <c r="C2103"/>
    </row>
    <row r="2104" spans="3:3">
      <c r="C2104"/>
    </row>
    <row r="2105" spans="3:3">
      <c r="C2105"/>
    </row>
    <row r="2106" spans="3:3">
      <c r="C2106"/>
    </row>
    <row r="2107" spans="3:3">
      <c r="C2107"/>
    </row>
    <row r="2108" spans="3:3">
      <c r="C2108"/>
    </row>
    <row r="2109" spans="3:3">
      <c r="C2109"/>
    </row>
    <row r="2110" spans="3:3">
      <c r="C2110"/>
    </row>
    <row r="2111" spans="3:3">
      <c r="C2111"/>
    </row>
    <row r="2112" spans="3:3">
      <c r="C2112"/>
    </row>
    <row r="2113" spans="3:3">
      <c r="C2113"/>
    </row>
    <row r="2114" spans="3:3">
      <c r="C2114"/>
    </row>
    <row r="2115" spans="3:3">
      <c r="C2115"/>
    </row>
    <row r="2116" spans="3:3">
      <c r="C2116"/>
    </row>
    <row r="2117" spans="3:3">
      <c r="C2117"/>
    </row>
    <row r="2118" spans="3:3">
      <c r="C2118"/>
    </row>
    <row r="2119" spans="3:3">
      <c r="C2119"/>
    </row>
    <row r="2120" spans="3:3">
      <c r="C2120"/>
    </row>
    <row r="2121" spans="3:3">
      <c r="C2121"/>
    </row>
    <row r="2122" spans="3:3">
      <c r="C2122"/>
    </row>
    <row r="2123" spans="3:3">
      <c r="C2123"/>
    </row>
    <row r="2124" spans="3:3">
      <c r="C2124"/>
    </row>
    <row r="2125" spans="3:3">
      <c r="C2125"/>
    </row>
    <row r="2126" spans="3:3">
      <c r="C2126"/>
    </row>
    <row r="2127" spans="3:3">
      <c r="C2127"/>
    </row>
    <row r="2128" spans="3:3">
      <c r="C2128"/>
    </row>
    <row r="2129" spans="3:3">
      <c r="C2129"/>
    </row>
    <row r="2130" spans="3:3">
      <c r="C2130"/>
    </row>
    <row r="2131" spans="3:3">
      <c r="C2131"/>
    </row>
    <row r="2132" spans="3:3">
      <c r="C2132"/>
    </row>
    <row r="2133" spans="3:3">
      <c r="C2133"/>
    </row>
    <row r="2134" spans="3:3">
      <c r="C2134"/>
    </row>
    <row r="2135" spans="3:3">
      <c r="C2135"/>
    </row>
    <row r="2136" spans="3:3">
      <c r="C2136"/>
    </row>
    <row r="2137" spans="3:3">
      <c r="C2137"/>
    </row>
    <row r="2138" spans="3:3">
      <c r="C2138"/>
    </row>
    <row r="2139" spans="3:3">
      <c r="C2139"/>
    </row>
    <row r="2140" spans="3:3">
      <c r="C2140"/>
    </row>
    <row r="2141" spans="3:3">
      <c r="C2141"/>
    </row>
    <row r="2142" spans="3:3">
      <c r="C2142"/>
    </row>
    <row r="2143" spans="3:3">
      <c r="C2143"/>
    </row>
    <row r="2144" spans="3:3">
      <c r="C2144"/>
    </row>
    <row r="2145" spans="3:3">
      <c r="C2145"/>
    </row>
    <row r="2146" spans="3:3">
      <c r="C2146"/>
    </row>
    <row r="2147" spans="3:3">
      <c r="C2147"/>
    </row>
    <row r="2148" spans="3:3">
      <c r="C2148"/>
    </row>
    <row r="2149" spans="3:3">
      <c r="C2149"/>
    </row>
    <row r="2150" spans="3:3">
      <c r="C2150"/>
    </row>
    <row r="2151" spans="3:3">
      <c r="C2151"/>
    </row>
    <row r="2152" spans="3:3">
      <c r="C2152"/>
    </row>
    <row r="2153" spans="3:3">
      <c r="C2153"/>
    </row>
    <row r="2154" spans="3:3">
      <c r="C2154"/>
    </row>
    <row r="2155" spans="3:3">
      <c r="C2155"/>
    </row>
    <row r="2156" spans="3:3">
      <c r="C2156"/>
    </row>
    <row r="2157" spans="3:3">
      <c r="C2157"/>
    </row>
    <row r="2158" spans="3:3">
      <c r="C2158"/>
    </row>
    <row r="2159" spans="3:3">
      <c r="C2159"/>
    </row>
    <row r="2160" spans="3:3">
      <c r="C2160"/>
    </row>
    <row r="2161" spans="3:3">
      <c r="C2161"/>
    </row>
    <row r="2162" spans="3:3">
      <c r="C2162"/>
    </row>
    <row r="2163" spans="3:3">
      <c r="C2163"/>
    </row>
    <row r="2164" spans="3:3">
      <c r="C2164"/>
    </row>
    <row r="2165" spans="3:3">
      <c r="C2165"/>
    </row>
    <row r="2166" spans="3:3">
      <c r="C2166"/>
    </row>
    <row r="2167" spans="3:3">
      <c r="C2167"/>
    </row>
    <row r="2168" spans="3:3">
      <c r="C2168"/>
    </row>
    <row r="2169" spans="3:3">
      <c r="C2169"/>
    </row>
    <row r="2170" spans="3:3">
      <c r="C2170"/>
    </row>
    <row r="2171" spans="3:3">
      <c r="C2171"/>
    </row>
    <row r="2172" spans="3:3">
      <c r="C2172"/>
    </row>
    <row r="2173" spans="3:3">
      <c r="C2173"/>
    </row>
    <row r="2174" spans="3:3">
      <c r="C2174"/>
    </row>
    <row r="2175" spans="3:3">
      <c r="C2175"/>
    </row>
    <row r="2176" spans="3:3">
      <c r="C2176"/>
    </row>
    <row r="2177" spans="3:3">
      <c r="C2177"/>
    </row>
    <row r="2178" spans="3:3">
      <c r="C2178"/>
    </row>
    <row r="2179" spans="3:3">
      <c r="C2179"/>
    </row>
    <row r="2180" spans="3:3">
      <c r="C2180"/>
    </row>
    <row r="2181" spans="3:3">
      <c r="C2181"/>
    </row>
    <row r="2182" spans="3:3">
      <c r="C2182"/>
    </row>
    <row r="2183" spans="3:3">
      <c r="C2183"/>
    </row>
    <row r="2184" spans="3:3">
      <c r="C2184"/>
    </row>
    <row r="2185" spans="3:3">
      <c r="C2185"/>
    </row>
    <row r="2186" spans="3:3">
      <c r="C2186"/>
    </row>
    <row r="2187" spans="3:3">
      <c r="C2187"/>
    </row>
    <row r="2188" spans="3:3">
      <c r="C2188"/>
    </row>
    <row r="2189" spans="3:3">
      <c r="C2189"/>
    </row>
    <row r="2190" spans="3:3">
      <c r="C2190"/>
    </row>
    <row r="2191" spans="3:3">
      <c r="C2191"/>
    </row>
    <row r="2192" spans="3:3">
      <c r="C2192"/>
    </row>
    <row r="2193" spans="3:3">
      <c r="C2193"/>
    </row>
    <row r="2194" spans="3:3">
      <c r="C2194"/>
    </row>
    <row r="2195" spans="3:3">
      <c r="C2195"/>
    </row>
    <row r="2196" spans="3:3">
      <c r="C2196"/>
    </row>
    <row r="2197" spans="3:3">
      <c r="C2197"/>
    </row>
    <row r="2198" spans="3:3">
      <c r="C2198"/>
    </row>
    <row r="2199" spans="3:3">
      <c r="C2199"/>
    </row>
    <row r="2200" spans="3:3">
      <c r="C2200"/>
    </row>
    <row r="2201" spans="3:3">
      <c r="C2201"/>
    </row>
    <row r="2202" spans="3:3">
      <c r="C2202"/>
    </row>
    <row r="2203" spans="3:3">
      <c r="C2203"/>
    </row>
    <row r="2204" spans="3:3">
      <c r="C2204"/>
    </row>
    <row r="2205" spans="3:3">
      <c r="C2205"/>
    </row>
    <row r="2206" spans="3:3">
      <c r="C2206"/>
    </row>
    <row r="2207" spans="3:3">
      <c r="C2207"/>
    </row>
    <row r="2208" spans="3:3">
      <c r="C2208"/>
    </row>
    <row r="2209" spans="3:3">
      <c r="C2209"/>
    </row>
    <row r="2210" spans="3:3">
      <c r="C2210"/>
    </row>
    <row r="2211" spans="3:3">
      <c r="C2211"/>
    </row>
    <row r="2212" spans="3:3">
      <c r="C2212"/>
    </row>
    <row r="2213" spans="3:3">
      <c r="C2213"/>
    </row>
    <row r="2214" spans="3:3">
      <c r="C2214"/>
    </row>
    <row r="2215" spans="3:3">
      <c r="C2215"/>
    </row>
    <row r="2216" spans="3:3">
      <c r="C2216"/>
    </row>
    <row r="2217" spans="3:3">
      <c r="C2217"/>
    </row>
    <row r="2218" spans="3:3">
      <c r="C2218"/>
    </row>
    <row r="2219" spans="3:3">
      <c r="C2219"/>
    </row>
    <row r="2220" spans="3:3">
      <c r="C2220"/>
    </row>
    <row r="2221" spans="3:3">
      <c r="C2221"/>
    </row>
    <row r="2222" spans="3:3">
      <c r="C2222"/>
    </row>
    <row r="2223" spans="3:3">
      <c r="C2223"/>
    </row>
    <row r="2224" spans="3:3">
      <c r="C2224"/>
    </row>
    <row r="2225" spans="3:3">
      <c r="C2225"/>
    </row>
    <row r="2226" spans="3:3">
      <c r="C2226"/>
    </row>
    <row r="2227" spans="3:3">
      <c r="C2227"/>
    </row>
    <row r="2228" spans="3:3">
      <c r="C2228"/>
    </row>
    <row r="2229" spans="3:3">
      <c r="C2229"/>
    </row>
    <row r="2230" spans="3:3">
      <c r="C2230"/>
    </row>
    <row r="2231" spans="3:3">
      <c r="C2231"/>
    </row>
    <row r="2232" spans="3:3">
      <c r="C2232"/>
    </row>
    <row r="2233" spans="3:3">
      <c r="C2233"/>
    </row>
    <row r="2234" spans="3:3">
      <c r="C2234"/>
    </row>
    <row r="2235" spans="3:3">
      <c r="C2235"/>
    </row>
    <row r="2236" spans="3:3">
      <c r="C2236"/>
    </row>
    <row r="2237" spans="3:3">
      <c r="C2237"/>
    </row>
    <row r="2238" spans="3:3">
      <c r="C2238"/>
    </row>
    <row r="2239" spans="3:3">
      <c r="C2239"/>
    </row>
    <row r="2240" spans="3:3">
      <c r="C2240"/>
    </row>
    <row r="2241" spans="3:3">
      <c r="C2241"/>
    </row>
    <row r="2242" spans="3:3">
      <c r="C2242"/>
    </row>
    <row r="2243" spans="3:3">
      <c r="C2243"/>
    </row>
    <row r="2244" spans="3:3">
      <c r="C2244"/>
    </row>
    <row r="2245" spans="3:3">
      <c r="C2245"/>
    </row>
    <row r="2246" spans="3:3">
      <c r="C2246"/>
    </row>
    <row r="2247" spans="3:3">
      <c r="C2247"/>
    </row>
    <row r="2248" spans="3:3">
      <c r="C2248"/>
    </row>
    <row r="2249" spans="3:3">
      <c r="C2249"/>
    </row>
    <row r="2250" spans="3:3">
      <c r="C2250"/>
    </row>
    <row r="2251" spans="3:3">
      <c r="C2251"/>
    </row>
    <row r="2252" spans="3:3">
      <c r="C2252"/>
    </row>
    <row r="2253" spans="3:3">
      <c r="C2253"/>
    </row>
    <row r="2254" spans="3:3">
      <c r="C2254"/>
    </row>
    <row r="2255" spans="3:3">
      <c r="C2255"/>
    </row>
    <row r="2256" spans="3:3">
      <c r="C2256"/>
    </row>
    <row r="2257" spans="3:3">
      <c r="C2257"/>
    </row>
    <row r="2258" spans="3:3">
      <c r="C2258"/>
    </row>
    <row r="2259" spans="3:3">
      <c r="C2259"/>
    </row>
    <row r="2260" spans="3:3">
      <c r="C2260"/>
    </row>
    <row r="2261" spans="3:3">
      <c r="C2261"/>
    </row>
    <row r="2262" spans="3:3">
      <c r="C2262"/>
    </row>
    <row r="2263" spans="3:3">
      <c r="C2263"/>
    </row>
    <row r="2264" spans="3:3">
      <c r="C2264"/>
    </row>
    <row r="2265" spans="3:3">
      <c r="C2265"/>
    </row>
    <row r="2266" spans="3:3">
      <c r="C2266"/>
    </row>
    <row r="2267" spans="3:3">
      <c r="C2267"/>
    </row>
    <row r="2268" spans="3:3">
      <c r="C2268"/>
    </row>
    <row r="2269" spans="3:3">
      <c r="C2269"/>
    </row>
    <row r="2270" spans="3:3">
      <c r="C2270"/>
    </row>
    <row r="2271" spans="3:3">
      <c r="C2271"/>
    </row>
    <row r="2272" spans="3:3">
      <c r="C2272"/>
    </row>
    <row r="2273" spans="3:3">
      <c r="C2273"/>
    </row>
    <row r="2274" spans="3:3">
      <c r="C2274"/>
    </row>
    <row r="2275" spans="3:3">
      <c r="C2275"/>
    </row>
    <row r="2276" spans="3:3">
      <c r="C2276"/>
    </row>
    <row r="2277" spans="3:3">
      <c r="C2277"/>
    </row>
    <row r="2278" spans="3:3">
      <c r="C2278"/>
    </row>
    <row r="2279" spans="3:3">
      <c r="C2279"/>
    </row>
    <row r="2280" spans="3:3">
      <c r="C2280"/>
    </row>
    <row r="2281" spans="3:3">
      <c r="C2281"/>
    </row>
    <row r="2282" spans="3:3">
      <c r="C2282"/>
    </row>
    <row r="2283" spans="3:3">
      <c r="C2283"/>
    </row>
    <row r="2284" spans="3:3">
      <c r="C2284"/>
    </row>
    <row r="2285" spans="3:3">
      <c r="C2285"/>
    </row>
    <row r="2286" spans="3:3">
      <c r="C2286"/>
    </row>
    <row r="2287" spans="3:3">
      <c r="C2287"/>
    </row>
    <row r="2288" spans="3:3">
      <c r="C2288"/>
    </row>
    <row r="2289" spans="3:3">
      <c r="C2289"/>
    </row>
    <row r="2290" spans="3:3">
      <c r="C2290"/>
    </row>
    <row r="2291" spans="3:3">
      <c r="C2291"/>
    </row>
    <row r="2292" spans="3:3">
      <c r="C2292"/>
    </row>
    <row r="2293" spans="3:3">
      <c r="C2293"/>
    </row>
    <row r="2294" spans="3:3">
      <c r="C2294"/>
    </row>
    <row r="2295" spans="3:3">
      <c r="C2295"/>
    </row>
    <row r="2296" spans="3:3">
      <c r="C2296"/>
    </row>
    <row r="2297" spans="3:3">
      <c r="C2297"/>
    </row>
    <row r="2298" spans="3:3">
      <c r="C2298"/>
    </row>
    <row r="2299" spans="3:3">
      <c r="C2299"/>
    </row>
    <row r="2300" spans="3:3">
      <c r="C2300"/>
    </row>
    <row r="2301" spans="3:3">
      <c r="C2301"/>
    </row>
    <row r="2302" spans="3:3">
      <c r="C2302"/>
    </row>
    <row r="2303" spans="3:3">
      <c r="C2303"/>
    </row>
    <row r="2304" spans="3:3">
      <c r="C2304"/>
    </row>
    <row r="2305" spans="3:3">
      <c r="C2305"/>
    </row>
    <row r="2306" spans="3:3">
      <c r="C2306"/>
    </row>
    <row r="2307" spans="3:3">
      <c r="C2307"/>
    </row>
    <row r="2308" spans="3:3">
      <c r="C2308"/>
    </row>
    <row r="2309" spans="3:3">
      <c r="C2309"/>
    </row>
    <row r="2310" spans="3:3">
      <c r="C2310"/>
    </row>
    <row r="2311" spans="3:3">
      <c r="C2311"/>
    </row>
    <row r="2312" spans="3:3">
      <c r="C2312"/>
    </row>
    <row r="2313" spans="3:3">
      <c r="C2313"/>
    </row>
    <row r="2314" spans="3:3">
      <c r="C2314"/>
    </row>
    <row r="2315" spans="3:3">
      <c r="C2315"/>
    </row>
    <row r="2316" spans="3:3">
      <c r="C2316"/>
    </row>
    <row r="2317" spans="3:3">
      <c r="C2317"/>
    </row>
    <row r="2318" spans="3:3">
      <c r="C2318"/>
    </row>
    <row r="2319" spans="3:3">
      <c r="C2319"/>
    </row>
    <row r="2320" spans="3:3">
      <c r="C2320"/>
    </row>
    <row r="2321" spans="3:3">
      <c r="C2321"/>
    </row>
    <row r="2322" spans="3:3">
      <c r="C2322"/>
    </row>
    <row r="2323" spans="3:3">
      <c r="C2323"/>
    </row>
    <row r="2324" spans="3:3">
      <c r="C2324"/>
    </row>
    <row r="2325" spans="3:3">
      <c r="C2325"/>
    </row>
    <row r="2326" spans="3:3">
      <c r="C2326"/>
    </row>
    <row r="2327" spans="3:3">
      <c r="C2327"/>
    </row>
    <row r="2328" spans="3:3">
      <c r="C2328"/>
    </row>
    <row r="2329" spans="3:3">
      <c r="C2329"/>
    </row>
    <row r="2330" spans="3:3">
      <c r="C2330"/>
    </row>
    <row r="2331" spans="3:3">
      <c r="C2331"/>
    </row>
    <row r="2332" spans="3:3">
      <c r="C2332"/>
    </row>
    <row r="2333" spans="3:3">
      <c r="C2333"/>
    </row>
    <row r="2334" spans="3:3">
      <c r="C2334"/>
    </row>
    <row r="2335" spans="3:3">
      <c r="C2335"/>
    </row>
    <row r="2336" spans="3:3">
      <c r="C2336"/>
    </row>
    <row r="2337" spans="3:3">
      <c r="C2337"/>
    </row>
    <row r="2338" spans="3:3">
      <c r="C2338"/>
    </row>
    <row r="2339" spans="3:3">
      <c r="C2339"/>
    </row>
    <row r="2340" spans="3:3">
      <c r="C2340"/>
    </row>
    <row r="2341" spans="3:3">
      <c r="C2341"/>
    </row>
    <row r="2342" spans="3:3">
      <c r="C2342"/>
    </row>
    <row r="2343" spans="3:3">
      <c r="C2343"/>
    </row>
    <row r="2344" spans="3:3">
      <c r="C2344"/>
    </row>
    <row r="2345" spans="3:3">
      <c r="C2345"/>
    </row>
    <row r="2346" spans="3:3">
      <c r="C2346"/>
    </row>
    <row r="2347" spans="3:3">
      <c r="C2347"/>
    </row>
    <row r="2348" spans="3:3">
      <c r="C2348"/>
    </row>
    <row r="2349" spans="3:3">
      <c r="C2349"/>
    </row>
    <row r="2350" spans="3:3">
      <c r="C2350"/>
    </row>
    <row r="2351" spans="3:3">
      <c r="C2351"/>
    </row>
    <row r="2352" spans="3:3">
      <c r="C2352"/>
    </row>
    <row r="2353" spans="3:3">
      <c r="C2353"/>
    </row>
    <row r="2354" spans="3:3">
      <c r="C2354"/>
    </row>
  </sheetData>
  <pageMargins left="0.7" right="0.7" top="0.75" bottom="0.75" header="0.3" footer="0.3"/>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8471A5C-0AAA-4CD6-BB07-69B415BA0F98}">
  <sheetPr codeName="Sheet13"/>
  <dimension ref="A1:AM20"/>
  <sheetViews>
    <sheetView topLeftCell="Q1" workbookViewId="0">
      <pane ySplit="9" topLeftCell="A10" activePane="bottomLeft" state="frozen"/>
      <selection activeCell="M34" sqref="M34"/>
      <selection pane="bottomLeft" activeCell="M34" sqref="M34"/>
    </sheetView>
  </sheetViews>
  <sheetFormatPr defaultColWidth="9.296875" defaultRowHeight="12.9"/>
  <cols>
    <col min="1" max="1" width="9.296875" style="44"/>
    <col min="2" max="2" width="8.296875" style="44" customWidth="1"/>
    <col min="3" max="3" width="6.69921875" style="44" bestFit="1" customWidth="1"/>
    <col min="4" max="4" width="6.69921875" style="44" customWidth="1"/>
    <col min="5" max="5" width="22.69921875" style="44" customWidth="1"/>
    <col min="6" max="6" width="10" style="44" bestFit="1" customWidth="1"/>
    <col min="7" max="9" width="16.296875" style="44" customWidth="1"/>
    <col min="10" max="10" width="10" style="44" bestFit="1" customWidth="1"/>
    <col min="11" max="11" width="14.69921875" style="44" customWidth="1"/>
    <col min="12" max="12" width="15" style="44" customWidth="1"/>
    <col min="13" max="13" width="14.796875" style="44" customWidth="1"/>
    <col min="14" max="14" width="10" style="44" bestFit="1" customWidth="1"/>
    <col min="15" max="16" width="14.69921875" style="44" bestFit="1" customWidth="1"/>
    <col min="17" max="17" width="10" style="44" bestFit="1" customWidth="1"/>
    <col min="18" max="18" width="11.5" style="44" bestFit="1" customWidth="1"/>
    <col min="19" max="20" width="15.796875" style="44" bestFit="1" customWidth="1"/>
    <col min="21" max="21" width="14.69921875" style="44" bestFit="1" customWidth="1"/>
    <col min="22" max="23" width="17" style="44" bestFit="1" customWidth="1"/>
    <col min="24" max="25" width="14.19921875" style="44" bestFit="1" customWidth="1"/>
    <col min="26" max="26" width="12.796875" style="44" bestFit="1" customWidth="1"/>
    <col min="27" max="27" width="9.296875" style="44"/>
    <col min="28" max="28" width="12.296875" style="44" bestFit="1" customWidth="1"/>
    <col min="29" max="29" width="10" style="44" bestFit="1" customWidth="1"/>
    <col min="30" max="16384" width="9.296875" style="44"/>
  </cols>
  <sheetData>
    <row r="1" spans="1:39" ht="18.45">
      <c r="B1" s="110" t="s">
        <v>153</v>
      </c>
      <c r="C1" s="111"/>
      <c r="D1" s="111"/>
      <c r="E1" s="111"/>
      <c r="F1" s="111"/>
      <c r="G1" s="111"/>
      <c r="H1" s="111"/>
      <c r="I1" s="111"/>
      <c r="J1" s="111"/>
      <c r="K1" s="111"/>
      <c r="L1" s="111"/>
      <c r="M1" s="111"/>
      <c r="N1" s="111"/>
      <c r="AA1" s="44" t="s">
        <v>247</v>
      </c>
    </row>
    <row r="2" spans="1:39">
      <c r="A2" s="44" t="s">
        <v>71</v>
      </c>
      <c r="AA2" s="44" t="s">
        <v>248</v>
      </c>
    </row>
    <row r="3" spans="1:39">
      <c r="A3" s="244">
        <f>+COUNT(C10:C20)</f>
        <v>0</v>
      </c>
      <c r="B3" s="266" t="s">
        <v>250</v>
      </c>
      <c r="G3" s="176" t="s">
        <v>85</v>
      </c>
      <c r="H3" s="177" t="s">
        <v>154</v>
      </c>
      <c r="O3" s="178" t="s">
        <v>85</v>
      </c>
      <c r="P3" s="178" t="s">
        <v>42</v>
      </c>
      <c r="AA3" s="178" t="s">
        <v>53</v>
      </c>
      <c r="AB3" s="178" t="s">
        <v>32</v>
      </c>
      <c r="AC3" s="178" t="s">
        <v>54</v>
      </c>
    </row>
    <row r="4" spans="1:39">
      <c r="A4" s="44" t="s">
        <v>249</v>
      </c>
      <c r="G4" s="109">
        <v>6</v>
      </c>
      <c r="H4" s="179">
        <f>'D08'!CK18</f>
        <v>0.69910000000000005</v>
      </c>
      <c r="O4" s="178">
        <v>6</v>
      </c>
      <c r="P4" s="463">
        <f>+'CB Item 1'!G12</f>
        <v>0.96009999999999995</v>
      </c>
      <c r="AA4" s="463">
        <f>'D08'!DS49</f>
        <v>3.5823999999999998</v>
      </c>
      <c r="AB4" s="463">
        <f>'D08'!DV49</f>
        <v>2.9306000000000001</v>
      </c>
      <c r="AC4" s="463">
        <f>'D08'!DZ49</f>
        <v>13.7582</v>
      </c>
    </row>
    <row r="5" spans="1:39">
      <c r="H5" s="150"/>
      <c r="P5" s="150"/>
    </row>
    <row r="6" spans="1:39">
      <c r="H6" s="150"/>
      <c r="P6" s="150"/>
    </row>
    <row r="8" spans="1:39">
      <c r="B8" s="58"/>
      <c r="C8" s="52"/>
      <c r="D8" s="52"/>
      <c r="E8" s="52"/>
      <c r="F8" s="52"/>
      <c r="G8" s="95" t="s">
        <v>246</v>
      </c>
      <c r="H8" s="95"/>
      <c r="I8" s="95"/>
      <c r="J8" s="96"/>
      <c r="K8" s="95" t="s">
        <v>155</v>
      </c>
      <c r="L8" s="95"/>
      <c r="M8" s="95"/>
      <c r="N8" s="95"/>
      <c r="O8" s="180" t="s">
        <v>180</v>
      </c>
      <c r="P8" s="95"/>
      <c r="Q8" s="95"/>
      <c r="R8" s="181"/>
      <c r="S8" s="180" t="s">
        <v>185</v>
      </c>
      <c r="T8" s="182"/>
      <c r="U8" s="182"/>
      <c r="V8" s="96"/>
      <c r="W8" s="58"/>
      <c r="X8" s="182" t="s">
        <v>181</v>
      </c>
      <c r="Y8" s="182"/>
      <c r="Z8" s="96"/>
      <c r="AA8" s="251" t="s">
        <v>182</v>
      </c>
      <c r="AB8" s="182"/>
      <c r="AC8" s="96"/>
    </row>
    <row r="9" spans="1:39">
      <c r="B9" s="59" t="s">
        <v>85</v>
      </c>
      <c r="C9" s="57" t="s">
        <v>77</v>
      </c>
      <c r="D9" s="57" t="s">
        <v>184</v>
      </c>
      <c r="E9" s="57" t="s">
        <v>483</v>
      </c>
      <c r="F9" s="57" t="s">
        <v>157</v>
      </c>
      <c r="G9" s="49" t="s">
        <v>18</v>
      </c>
      <c r="H9" s="49" t="s">
        <v>19</v>
      </c>
      <c r="I9" s="49" t="s">
        <v>148</v>
      </c>
      <c r="J9" s="188" t="s">
        <v>76</v>
      </c>
      <c r="K9" s="49" t="s">
        <v>18</v>
      </c>
      <c r="L9" s="49" t="s">
        <v>19</v>
      </c>
      <c r="M9" s="49" t="s">
        <v>148</v>
      </c>
      <c r="N9" s="44" t="s">
        <v>76</v>
      </c>
      <c r="O9" s="543" t="s">
        <v>18</v>
      </c>
      <c r="P9" s="49" t="s">
        <v>19</v>
      </c>
      <c r="Q9" s="49" t="s">
        <v>148</v>
      </c>
      <c r="R9" s="57" t="s">
        <v>76</v>
      </c>
      <c r="S9" s="543" t="s">
        <v>18</v>
      </c>
      <c r="T9" s="49" t="s">
        <v>19</v>
      </c>
      <c r="U9" s="49" t="s">
        <v>148</v>
      </c>
      <c r="V9" s="57" t="s">
        <v>76</v>
      </c>
      <c r="W9" s="59" t="s">
        <v>183</v>
      </c>
      <c r="X9" s="44" t="s">
        <v>18</v>
      </c>
      <c r="Y9" s="44" t="s">
        <v>19</v>
      </c>
      <c r="Z9" s="188" t="s">
        <v>148</v>
      </c>
      <c r="AA9" s="315" t="s">
        <v>18</v>
      </c>
      <c r="AB9" s="44" t="s">
        <v>19</v>
      </c>
      <c r="AC9" s="188" t="s">
        <v>148</v>
      </c>
    </row>
    <row r="10" spans="1:39">
      <c r="B10" s="255">
        <v>6</v>
      </c>
      <c r="C10" s="48" t="s">
        <v>485</v>
      </c>
      <c r="D10" s="48">
        <v>1</v>
      </c>
      <c r="E10" s="544">
        <f>$H$4</f>
        <v>0.69910000000000005</v>
      </c>
      <c r="F10" s="545">
        <f>+IFERROR(VLOOKUP($C10,'PYV(Pre-Surcharge)'!$H$8:$M$18,2,FALSE),0)</f>
        <v>10.98</v>
      </c>
      <c r="G10" s="546">
        <f>+IFERROR(VLOOKUP($C10,'PYV(Pre-Surcharge)'!$H$8:$M$18,4,FALSE),0)</f>
        <v>5.81</v>
      </c>
      <c r="H10" s="546">
        <f>+IFERROR(VLOOKUP($C10,'PYV(Pre-Surcharge)'!$H$8:$M$18,5,FALSE),0)</f>
        <v>1.1599999999999999</v>
      </c>
      <c r="I10" s="546">
        <f>+IFERROR(VLOOKUP($C10,'PYV(Pre-Surcharge)'!$H$8:$M$18,6,FALSE),0)</f>
        <v>6.7000000000000004E-2</v>
      </c>
      <c r="J10" s="545">
        <f>+G10+H10+I10</f>
        <v>7.0369999999999999</v>
      </c>
      <c r="K10" s="546">
        <f t="shared" ref="K10:K11" si="0">+($F10*$E10*G10/$J10)</f>
        <v>6.3376787807304256</v>
      </c>
      <c r="L10" s="546">
        <f t="shared" ref="L10:L11" si="1">($F10*$E10*H10/$J10)</f>
        <v>1.2653541111269007</v>
      </c>
      <c r="M10" s="546">
        <f t="shared" ref="M10:M11" si="2">+($F10*$E10*I10/$J10)</f>
        <v>7.3085108142674451E-2</v>
      </c>
      <c r="N10" s="227">
        <f>+SUM(K10:M10)</f>
        <v>7.6761180000000007</v>
      </c>
      <c r="O10" s="546">
        <f t="shared" ref="O10:O20" si="3">+(K10*VLOOKUP($B10,$O$4:$P$6,2,FALSE))</f>
        <v>6.0848053973792817</v>
      </c>
      <c r="P10" s="546">
        <f t="shared" ref="P10:P20" si="4">+(L10*VLOOKUP($B10,$O$4:$P$6,2,FALSE))</f>
        <v>1.2148664820929373</v>
      </c>
      <c r="Q10" s="546">
        <f t="shared" ref="Q10:Q20" si="5">+(M10*VLOOKUP($B10,$O$4:$P$6,2,FALSE))</f>
        <v>7.0169012327781735E-2</v>
      </c>
      <c r="R10" s="545">
        <f>+SUM(O10:Q10)</f>
        <v>7.3698408918000009</v>
      </c>
      <c r="S10" s="547">
        <f>+IFERROR(IF(D10=1,O10*VLOOKUP($C10,'IBNR+Freq'!$B$11:$J$21,9,FALSE)*10,O10*VLOOKUP($C10,'IBNR+Freq'!$B$11:$J$21,9,FALSE)),0)</f>
        <v>10830.953607335121</v>
      </c>
      <c r="T10" s="548">
        <f>+IFERROR(IF(D10=1,P10*VLOOKUP($C10,'IBNR+Freq'!$B$11:$J$21,9,FALSE)*10,P10*VLOOKUP($C10,'IBNR+Freq'!$B$11:$J$21,9,FALSE)),0)</f>
        <v>2162.4623381254282</v>
      </c>
      <c r="U10" s="548">
        <f>+IFERROR(IF(D10=1,Q10*VLOOKUP($C10,'IBNR+Freq'!$B$11:$J$21,9,FALSE)*10,Q10*VLOOKUP($C10,'IBNR+Freq'!$B$11:$J$21,9,FALSE)),0)</f>
        <v>124.9008419434515</v>
      </c>
      <c r="V10" s="549">
        <f>+S10+T10+U10</f>
        <v>13118.316787404001</v>
      </c>
      <c r="W10" s="550">
        <f>+IFERROR(IF(D10=1,VLOOKUP(C10,'IBNR+Freq'!B$11:J$21,9,FALSE)*10,VLOOKUP(C10,'IBNR+Freq'!B$11:J$21,9,FALSE)),0)</f>
        <v>1780</v>
      </c>
      <c r="X10" s="548">
        <f>+$W10*K10</f>
        <v>11281.068229700157</v>
      </c>
      <c r="Y10" s="548">
        <f>+$W10*L10</f>
        <v>2252.3303178058832</v>
      </c>
      <c r="Z10" s="548">
        <f>+$W10*M10</f>
        <v>130.09149249396052</v>
      </c>
      <c r="AA10" s="473">
        <f>+IF($D10=1, _xlfn.XLOOKUP($W10,Credibility!B$12:B$112,Credibility!$E$12:$E$112,,-1,-2),_xlfn.XLOOKUP(X10*AA$4,Credibility!B$12:B$112,Credibility!$E$12:$E$112,,-1,-2))</f>
        <v>0</v>
      </c>
      <c r="AB10" s="474">
        <f>+IF($D10=1, _xlfn.XLOOKUP($W10,Credibility!C$12:C$112,Credibility!$E$12:$E$112,,-1,-2),_xlfn.XLOOKUP(Y10*AB$4,Credibility!C$12:C$112,Credibility!$E$12:$E$112,,-1,-2))</f>
        <v>0</v>
      </c>
      <c r="AC10" s="475">
        <f>+IF($D10=1, _xlfn.XLOOKUP($W10,Credibility!D$12:D$112,Credibility!$E$12:$E$112,,-1,-2),_xlfn.XLOOKUP(Z10*AC$4,Credibility!D$12:D$112,Credibility!$E$12:$E$112,,-1,-2))</f>
        <v>0</v>
      </c>
      <c r="AJ10" s="472"/>
      <c r="AK10" s="472"/>
      <c r="AL10" s="472"/>
      <c r="AM10" s="472"/>
    </row>
    <row r="11" spans="1:39">
      <c r="B11" s="315">
        <v>6</v>
      </c>
      <c r="C11" s="188" t="s">
        <v>486</v>
      </c>
      <c r="D11" s="188">
        <v>1</v>
      </c>
      <c r="E11" s="189">
        <f t="shared" ref="E11:E20" si="6">$H$4</f>
        <v>0.69910000000000005</v>
      </c>
      <c r="F11" s="184">
        <f>+IFERROR(VLOOKUP($C11,'PYV(Pre-Surcharge)'!$H$8:$M$18,2,FALSE),0)</f>
        <v>10.38</v>
      </c>
      <c r="G11" s="183">
        <f>+IFERROR(VLOOKUP($C11,'PYV(Pre-Surcharge)'!$H$8:$M$18,4,FALSE),0)</f>
        <v>6.0469999999999997</v>
      </c>
      <c r="H11" s="183">
        <f>+IFERROR(VLOOKUP($C11,'PYV(Pre-Surcharge)'!$H$8:$M$18,5,FALSE),0)</f>
        <v>1.248</v>
      </c>
      <c r="I11" s="183">
        <f>+IFERROR(VLOOKUP($C11,'PYV(Pre-Surcharge)'!$H$8:$M$18,6,FALSE),0)</f>
        <v>6.8000000000000005E-2</v>
      </c>
      <c r="J11" s="184">
        <f t="shared" ref="J11:J20" si="7">+G11+H11+I11</f>
        <v>7.3629999999999995</v>
      </c>
      <c r="K11" s="183">
        <f t="shared" si="0"/>
        <v>5.959664664674726</v>
      </c>
      <c r="L11" s="183">
        <f t="shared" si="1"/>
        <v>1.2299754426184981</v>
      </c>
      <c r="M11" s="183">
        <f t="shared" si="2"/>
        <v>6.7017892706777146E-2</v>
      </c>
      <c r="N11" s="228">
        <f t="shared" ref="N11" si="8">+SUM(K11:M11)</f>
        <v>7.2566580000000007</v>
      </c>
      <c r="O11" s="183">
        <f t="shared" si="3"/>
        <v>5.7218740445542045</v>
      </c>
      <c r="P11" s="183">
        <f t="shared" si="4"/>
        <v>1.18089942245802</v>
      </c>
      <c r="Q11" s="183">
        <f t="shared" si="5"/>
        <v>6.434387878777674E-2</v>
      </c>
      <c r="R11" s="184">
        <f t="shared" ref="R11:R20" si="9">+SUM(O11:Q11)</f>
        <v>6.9671173458000011</v>
      </c>
      <c r="S11" s="185">
        <f>+IFERROR(IF(D11=1,O11*VLOOKUP($C11,'IBNR+Freq'!$B$11:$J$21,9,FALSE)*10,O11*VLOOKUP($C11,'IBNR+Freq'!$B$11:$J$21,9,FALSE)),0)</f>
        <v>11729.841791336119</v>
      </c>
      <c r="T11" s="186">
        <f>+IFERROR(IF(D11=1,P11*VLOOKUP($C11,'IBNR+Freq'!$B$11:$J$21,9,FALSE)*10,P11*VLOOKUP($C11,'IBNR+Freq'!$B$11:$J$21,9,FALSE)),0)</f>
        <v>2420.843816038941</v>
      </c>
      <c r="U11" s="186">
        <f>+IFERROR(IF(D11=1,Q11*VLOOKUP($C11,'IBNR+Freq'!$B$11:$J$21,9,FALSE)*10,Q11*VLOOKUP($C11,'IBNR+Freq'!$B$11:$J$21,9,FALSE)),0)</f>
        <v>131.9049515149423</v>
      </c>
      <c r="V11" s="187">
        <f t="shared" ref="V11:V20" si="10">+S11+T11+U11</f>
        <v>14282.590558890002</v>
      </c>
      <c r="W11" s="249">
        <f>+IFERROR(IF(D11=1,VLOOKUP(C11,'IBNR+Freq'!B$11:J$21,9,FALSE)*10,VLOOKUP(C11,'IBNR+Freq'!B$11:J$21,9,FALSE)),0)</f>
        <v>2050</v>
      </c>
      <c r="X11" s="186">
        <f t="shared" ref="X11:X20" si="11">+$W11*K11</f>
        <v>12217.312562583189</v>
      </c>
      <c r="Y11" s="186">
        <f t="shared" ref="Y11:Y20" si="12">+$W11*L11</f>
        <v>2521.4496573679212</v>
      </c>
      <c r="Z11" s="186">
        <f t="shared" ref="Z11:Z20" si="13">+$W11*M11</f>
        <v>137.38668004889314</v>
      </c>
      <c r="AA11" s="476">
        <f>+IF($D11=1, _xlfn.XLOOKUP($W11,Credibility!B$12:B$112,Credibility!$E$12:$E$112,,-1,-2),_xlfn.XLOOKUP(X11*AA$4,Credibility!B$12:B$112,Credibility!$E$12:$E$112,,-1,-2))</f>
        <v>0</v>
      </c>
      <c r="AB11" s="477">
        <f>+IF($D11=1, _xlfn.XLOOKUP($W11,Credibility!C$12:C$112,Credibility!$E$12:$E$112,,-1,-2),_xlfn.XLOOKUP(Y11*AB$4,Credibility!C$12:C$112,Credibility!$E$12:$E$112,,-1,-2))</f>
        <v>0</v>
      </c>
      <c r="AC11" s="478">
        <f>+IF($D11=1, _xlfn.XLOOKUP($W11,Credibility!D$12:D$112,Credibility!$E$12:$E$112,,-1,-2),_xlfn.XLOOKUP(Z11*AC$4,Credibility!D$12:D$112,Credibility!$E$12:$E$112,,-1,-2))</f>
        <v>0</v>
      </c>
      <c r="AJ11" s="472"/>
      <c r="AK11" s="472"/>
      <c r="AL11" s="472"/>
      <c r="AM11" s="472"/>
    </row>
    <row r="12" spans="1:39">
      <c r="B12" s="315">
        <v>6</v>
      </c>
      <c r="C12" s="188" t="s">
        <v>487</v>
      </c>
      <c r="D12" s="188">
        <v>1</v>
      </c>
      <c r="E12" s="189">
        <f t="shared" si="6"/>
        <v>0.69910000000000005</v>
      </c>
      <c r="F12" s="184">
        <f>+IFERROR(VLOOKUP($C12,'PYV(Pre-Surcharge)'!$H$8:$M$18,2,FALSE),0)</f>
        <v>13.64</v>
      </c>
      <c r="G12" s="183">
        <f>+IFERROR(VLOOKUP($C12,'PYV(Pre-Surcharge)'!$H$8:$M$18,4,FALSE),0)</f>
        <v>7.3209999999999997</v>
      </c>
      <c r="H12" s="183">
        <f>+IFERROR(VLOOKUP($C12,'PYV(Pre-Surcharge)'!$H$8:$M$18,5,FALSE),0)</f>
        <v>1.75</v>
      </c>
      <c r="I12" s="183">
        <f>+IFERROR(VLOOKUP($C12,'PYV(Pre-Surcharge)'!$H$8:$M$18,6,FALSE),0)</f>
        <v>0.1</v>
      </c>
      <c r="J12" s="184">
        <f t="shared" si="7"/>
        <v>9.1709999999999994</v>
      </c>
      <c r="K12" s="183">
        <f t="shared" ref="K12:K20" si="14">+($F12*$E12*G12/$J12)</f>
        <v>7.6121508454912234</v>
      </c>
      <c r="L12" s="183">
        <f t="shared" ref="L12:L20" si="15">($F12*$E12*H12/$J12)</f>
        <v>1.8195962272380335</v>
      </c>
      <c r="M12" s="183">
        <f t="shared" ref="M12:M20" si="16">+($F12*$E12*I12/$J12)</f>
        <v>0.10397692727074477</v>
      </c>
      <c r="N12" s="228">
        <f t="shared" ref="N12:N20" si="17">+SUM(K12:M12)</f>
        <v>9.5357240000000019</v>
      </c>
      <c r="O12" s="183">
        <f t="shared" si="3"/>
        <v>7.3084260267561234</v>
      </c>
      <c r="P12" s="183">
        <f t="shared" si="4"/>
        <v>1.7469943377712358</v>
      </c>
      <c r="Q12" s="183">
        <f t="shared" si="5"/>
        <v>9.9828247872642051E-2</v>
      </c>
      <c r="R12" s="184">
        <f t="shared" si="9"/>
        <v>9.1552486124000012</v>
      </c>
      <c r="S12" s="185">
        <f>+IFERROR(IF(D12=1,O12*VLOOKUP($C12,'IBNR+Freq'!$B$11:$J$21,9,FALSE)*10,O12*VLOOKUP($C12,'IBNR+Freq'!$B$11:$J$21,9,FALSE)),0)</f>
        <v>4065458.1459036288</v>
      </c>
      <c r="T12" s="186">
        <f>+IFERROR(IF(D12=1,P12*VLOOKUP($C12,'IBNR+Freq'!$B$11:$J$21,9,FALSE)*10,P12*VLOOKUP($C12,'IBNR+Freq'!$B$11:$J$21,9,FALSE)),0)</f>
        <v>971800.54027200537</v>
      </c>
      <c r="U12" s="186">
        <f>+IFERROR(IF(D12=1,Q12*VLOOKUP($C12,'IBNR+Freq'!$B$11:$J$21,9,FALSE)*10,Q12*VLOOKUP($C12,'IBNR+Freq'!$B$11:$J$21,9,FALSE)),0)</f>
        <v>55531.459444114589</v>
      </c>
      <c r="V12" s="187">
        <f t="shared" si="10"/>
        <v>5092790.1456197491</v>
      </c>
      <c r="W12" s="249">
        <f>+IFERROR(IF(D12=1,VLOOKUP(C12,'IBNR+Freq'!B$11:J$21,9,FALSE)*10,VLOOKUP(C12,'IBNR+Freq'!B$11:J$21,9,FALSE)),0)</f>
        <v>556270</v>
      </c>
      <c r="X12" s="186">
        <f t="shared" si="11"/>
        <v>4234411.1508214027</v>
      </c>
      <c r="Y12" s="186">
        <f t="shared" si="12"/>
        <v>1012186.7933257009</v>
      </c>
      <c r="Z12" s="186">
        <f t="shared" si="13"/>
        <v>57839.245332897197</v>
      </c>
      <c r="AA12" s="476">
        <f>+IF($D12=1, _xlfn.XLOOKUP($W12,Credibility!B$12:B$112,Credibility!$E$12:$E$112,,-1,-2),_xlfn.XLOOKUP(X12*AA$4,Credibility!B$12:B$112,Credibility!$E$12:$E$112,,-1,-2))</f>
        <v>0.01</v>
      </c>
      <c r="AB12" s="477">
        <f>+IF($D12=1, _xlfn.XLOOKUP($W12,Credibility!C$12:C$112,Credibility!$E$12:$E$112,,-1,-2),_xlfn.XLOOKUP(Y12*AB$4,Credibility!C$12:C$112,Credibility!$E$12:$E$112,,-1,-2))</f>
        <v>0.04</v>
      </c>
      <c r="AC12" s="478">
        <f>+IF($D12=1, _xlfn.XLOOKUP($W12,Credibility!D$12:D$112,Credibility!$E$12:$E$112,,-1,-2),_xlfn.XLOOKUP(Z12*AC$4,Credibility!D$12:D$112,Credibility!$E$12:$E$112,,-1,-2))</f>
        <v>7.0000000000000007E-2</v>
      </c>
      <c r="AJ12" s="472"/>
      <c r="AK12" s="472"/>
      <c r="AL12" s="472"/>
      <c r="AM12" s="472"/>
    </row>
    <row r="13" spans="1:39">
      <c r="B13" s="315">
        <v>6</v>
      </c>
      <c r="C13" s="188" t="s">
        <v>488</v>
      </c>
      <c r="D13" s="188">
        <v>1</v>
      </c>
      <c r="E13" s="189">
        <f t="shared" si="6"/>
        <v>0.69910000000000005</v>
      </c>
      <c r="F13" s="184">
        <f>+IFERROR(VLOOKUP($C13,'PYV(Pre-Surcharge)'!$H$8:$M$18,2,FALSE),0)</f>
        <v>28.78</v>
      </c>
      <c r="G13" s="183">
        <f>+IFERROR(VLOOKUP($C13,'PYV(Pre-Surcharge)'!$H$8:$M$18,4,FALSE),0)</f>
        <v>17.895</v>
      </c>
      <c r="H13" s="183">
        <f>+IFERROR(VLOOKUP($C13,'PYV(Pre-Surcharge)'!$H$8:$M$18,5,FALSE),0)</f>
        <v>3.1659999999999999</v>
      </c>
      <c r="I13" s="183">
        <f>+IFERROR(VLOOKUP($C13,'PYV(Pre-Surcharge)'!$H$8:$M$18,6,FALSE),0)</f>
        <v>0.21199999999999999</v>
      </c>
      <c r="J13" s="184">
        <f t="shared" si="7"/>
        <v>21.273</v>
      </c>
      <c r="K13" s="183">
        <f t="shared" si="14"/>
        <v>16.925170578197719</v>
      </c>
      <c r="L13" s="183">
        <f t="shared" si="15"/>
        <v>2.9944168790485595</v>
      </c>
      <c r="M13" s="183">
        <f t="shared" si="16"/>
        <v>0.2005105427537254</v>
      </c>
      <c r="N13" s="228">
        <f t="shared" si="17"/>
        <v>20.120098000000006</v>
      </c>
      <c r="O13" s="183">
        <f t="shared" si="3"/>
        <v>16.24985627212763</v>
      </c>
      <c r="P13" s="183">
        <f t="shared" si="4"/>
        <v>2.8749396455745218</v>
      </c>
      <c r="Q13" s="183">
        <f t="shared" si="5"/>
        <v>0.19251017209785176</v>
      </c>
      <c r="R13" s="184">
        <f t="shared" si="9"/>
        <v>19.317306089800002</v>
      </c>
      <c r="S13" s="185">
        <f>+IFERROR(IF(D13=1,O13*VLOOKUP($C13,'IBNR+Freq'!$B$11:$J$21,9,FALSE)*10,O13*VLOOKUP($C13,'IBNR+Freq'!$B$11:$J$21,9,FALSE)),0)</f>
        <v>111636.51258951682</v>
      </c>
      <c r="T13" s="186">
        <f>+IFERROR(IF(D13=1,P13*VLOOKUP($C13,'IBNR+Freq'!$B$11:$J$21,9,FALSE)*10,P13*VLOOKUP($C13,'IBNR+Freq'!$B$11:$J$21,9,FALSE)),0)</f>
        <v>19750.835365096966</v>
      </c>
      <c r="U13" s="186">
        <f>+IFERROR(IF(D13=1,Q13*VLOOKUP($C13,'IBNR+Freq'!$B$11:$J$21,9,FALSE)*10,Q13*VLOOKUP($C13,'IBNR+Freq'!$B$11:$J$21,9,FALSE)),0)</f>
        <v>1322.5448823122417</v>
      </c>
      <c r="V13" s="187">
        <f t="shared" si="10"/>
        <v>132709.89283692604</v>
      </c>
      <c r="W13" s="249">
        <f>+IFERROR(IF(D13=1,VLOOKUP(C13,'IBNR+Freq'!B$11:J$21,9,FALSE)*10,VLOOKUP(C13,'IBNR+Freq'!B$11:J$21,9,FALSE)),0)</f>
        <v>6870</v>
      </c>
      <c r="X13" s="186">
        <f t="shared" si="11"/>
        <v>116275.92187221833</v>
      </c>
      <c r="Y13" s="186">
        <f t="shared" si="12"/>
        <v>20571.643959063604</v>
      </c>
      <c r="Z13" s="186">
        <f t="shared" si="13"/>
        <v>1377.5074287180935</v>
      </c>
      <c r="AA13" s="476">
        <f>+IF($D13=1, _xlfn.XLOOKUP($W13,Credibility!B$12:B$112,Credibility!$E$12:$E$112,,-1,-2),_xlfn.XLOOKUP(X13*AA$4,Credibility!B$12:B$112,Credibility!$E$12:$E$112,,-1,-2))</f>
        <v>0</v>
      </c>
      <c r="AB13" s="477">
        <f>+IF($D13=1, _xlfn.XLOOKUP($W13,Credibility!C$12:C$112,Credibility!$E$12:$E$112,,-1,-2),_xlfn.XLOOKUP(Y13*AB$4,Credibility!C$12:C$112,Credibility!$E$12:$E$112,,-1,-2))</f>
        <v>0</v>
      </c>
      <c r="AC13" s="478">
        <f>+IF($D13=1, _xlfn.XLOOKUP($W13,Credibility!D$12:D$112,Credibility!$E$12:$E$112,,-1,-2),_xlfn.XLOOKUP(Z13*AC$4,Credibility!D$12:D$112,Credibility!$E$12:$E$112,,-1,-2))</f>
        <v>0</v>
      </c>
      <c r="AJ13" s="472"/>
      <c r="AK13" s="472"/>
      <c r="AL13" s="472"/>
      <c r="AM13" s="472"/>
    </row>
    <row r="14" spans="1:39">
      <c r="B14" s="315">
        <v>6</v>
      </c>
      <c r="C14" s="188" t="s">
        <v>489</v>
      </c>
      <c r="D14" s="188">
        <v>1</v>
      </c>
      <c r="E14" s="189">
        <f t="shared" si="6"/>
        <v>0.69910000000000005</v>
      </c>
      <c r="F14" s="184">
        <f>+IFERROR(VLOOKUP($C14,'PYV(Pre-Surcharge)'!$H$8:$M$18,2,FALSE),0)</f>
        <v>46.82</v>
      </c>
      <c r="G14" s="183">
        <f>+IFERROR(VLOOKUP($C14,'PYV(Pre-Surcharge)'!$H$8:$M$18,4,FALSE),0)</f>
        <v>29.79</v>
      </c>
      <c r="H14" s="183">
        <f>+IFERROR(VLOOKUP($C14,'PYV(Pre-Surcharge)'!$H$8:$M$18,5,FALSE),0)</f>
        <v>5.6130000000000004</v>
      </c>
      <c r="I14" s="183">
        <f>+IFERROR(VLOOKUP($C14,'PYV(Pre-Surcharge)'!$H$8:$M$18,6,FALSE),0)</f>
        <v>0.27300000000000002</v>
      </c>
      <c r="J14" s="184">
        <f t="shared" si="7"/>
        <v>35.676000000000002</v>
      </c>
      <c r="K14" s="183">
        <f t="shared" si="14"/>
        <v>27.331600206861754</v>
      </c>
      <c r="L14" s="183">
        <f t="shared" si="15"/>
        <v>5.1497909352505893</v>
      </c>
      <c r="M14" s="183">
        <f t="shared" si="16"/>
        <v>0.25047085788765555</v>
      </c>
      <c r="N14" s="228">
        <f t="shared" si="17"/>
        <v>32.731862</v>
      </c>
      <c r="O14" s="183">
        <f t="shared" si="3"/>
        <v>26.24106935860797</v>
      </c>
      <c r="P14" s="183">
        <f>+(L14*VLOOKUP($B14,$O$4:$P$6,2,FALSE))</f>
        <v>4.9443142769340902</v>
      </c>
      <c r="Q14" s="183">
        <f t="shared" si="5"/>
        <v>0.24047707065793808</v>
      </c>
      <c r="R14" s="184">
        <f t="shared" si="9"/>
        <v>31.425860706199998</v>
      </c>
      <c r="S14" s="185">
        <f>+IFERROR(IF(D14=1,O14*VLOOKUP($C14,'IBNR+Freq'!$B$11:$J$21,9,FALSE)*10,O14*VLOOKUP($C14,'IBNR+Freq'!$B$11:$J$21,9,FALSE)),0)</f>
        <v>11290220.091541078</v>
      </c>
      <c r="T14" s="186">
        <f>+IFERROR(IF(D14=1,P14*VLOOKUP($C14,'IBNR+Freq'!$B$11:$J$21,9,FALSE)*10,P14*VLOOKUP($C14,'IBNR+Freq'!$B$11:$J$21,9,FALSE)),0)</f>
        <v>2127291.2176508922</v>
      </c>
      <c r="U14" s="186">
        <f>+IFERROR(IF(D14=1,Q14*VLOOKUP($C14,'IBNR+Freq'!$B$11:$J$21,9,FALSE)*10,Q14*VLOOKUP($C14,'IBNR+Freq'!$B$11:$J$21,9,FALSE)),0)</f>
        <v>103465.25965057786</v>
      </c>
      <c r="V14" s="187">
        <f t="shared" si="10"/>
        <v>13520976.568842549</v>
      </c>
      <c r="W14" s="249">
        <f>+IFERROR(IF(D14=1,VLOOKUP(C14,'IBNR+Freq'!B$11:J$21,9,FALSE)*10,VLOOKUP(C14,'IBNR+Freq'!B$11:J$21,9,FALSE)),0)</f>
        <v>430250</v>
      </c>
      <c r="X14" s="186">
        <f t="shared" si="11"/>
        <v>11759420.989002271</v>
      </c>
      <c r="Y14" s="186">
        <f t="shared" si="12"/>
        <v>2215697.5498915659</v>
      </c>
      <c r="Z14" s="186">
        <f t="shared" si="13"/>
        <v>107765.08660616381</v>
      </c>
      <c r="AA14" s="476">
        <f>+IF($D14=1, _xlfn.XLOOKUP($W14,Credibility!B$12:B$112,Credibility!$E$12:$E$112,,-1,-2),_xlfn.XLOOKUP(X14*AA$4,Credibility!B$12:B$112,Credibility!$E$12:$E$112,,-1,-2))</f>
        <v>0.01</v>
      </c>
      <c r="AB14" s="477">
        <f>+IF($D14=1, _xlfn.XLOOKUP($W14,Credibility!C$12:C$112,Credibility!$E$12:$E$112,,-1,-2),_xlfn.XLOOKUP(Y14*AB$4,Credibility!C$12:C$112,Credibility!$E$12:$E$112,,-1,-2))</f>
        <v>0.04</v>
      </c>
      <c r="AC14" s="478">
        <f>+IF($D14=1, _xlfn.XLOOKUP($W14,Credibility!D$12:D$112,Credibility!$E$12:$E$112,,-1,-2),_xlfn.XLOOKUP(Z14*AC$4,Credibility!D$12:D$112,Credibility!$E$12:$E$112,,-1,-2))</f>
        <v>0.06</v>
      </c>
      <c r="AJ14" s="472"/>
      <c r="AK14" s="472"/>
      <c r="AL14" s="472"/>
      <c r="AM14" s="472"/>
    </row>
    <row r="15" spans="1:39">
      <c r="B15" s="315">
        <v>6</v>
      </c>
      <c r="C15" s="188" t="s">
        <v>490</v>
      </c>
      <c r="D15" s="188">
        <v>1</v>
      </c>
      <c r="E15" s="189">
        <f t="shared" si="6"/>
        <v>0.69910000000000005</v>
      </c>
      <c r="F15" s="184">
        <f>+IFERROR(VLOOKUP($C15,'PYV(Pre-Surcharge)'!$H$8:$M$18,2,FALSE),0)</f>
        <v>10.28</v>
      </c>
      <c r="G15" s="183">
        <f>+IFERROR(VLOOKUP($C15,'PYV(Pre-Surcharge)'!$H$8:$M$18,4,FALSE),0)</f>
        <v>6.1509999999999998</v>
      </c>
      <c r="H15" s="183">
        <f>+IFERROR(VLOOKUP($C15,'PYV(Pre-Surcharge)'!$H$8:$M$18,5,FALSE),0)</f>
        <v>1.1639999999999999</v>
      </c>
      <c r="I15" s="183">
        <f>+IFERROR(VLOOKUP($C15,'PYV(Pre-Surcharge)'!$H$8:$M$18,6,FALSE),0)</f>
        <v>0.112</v>
      </c>
      <c r="J15" s="184">
        <f t="shared" si="7"/>
        <v>7.4269999999999996</v>
      </c>
      <c r="K15" s="183">
        <f t="shared" si="14"/>
        <v>5.9520246328261743</v>
      </c>
      <c r="L15" s="183">
        <f t="shared" si="15"/>
        <v>1.1263463945065302</v>
      </c>
      <c r="M15" s="183">
        <f t="shared" si="16"/>
        <v>0.10837697266729501</v>
      </c>
      <c r="N15" s="228">
        <f t="shared" si="17"/>
        <v>7.1867479999999997</v>
      </c>
      <c r="O15" s="183">
        <f t="shared" si="3"/>
        <v>5.7145388499764094</v>
      </c>
      <c r="P15" s="183">
        <f t="shared" si="4"/>
        <v>1.0814051733657195</v>
      </c>
      <c r="Q15" s="183">
        <f t="shared" si="5"/>
        <v>0.10405273145786993</v>
      </c>
      <c r="R15" s="184">
        <f t="shared" si="9"/>
        <v>6.8999967547999983</v>
      </c>
      <c r="S15" s="185">
        <f>+IFERROR(IF(D15=1,O15*VLOOKUP($C15,'IBNR+Freq'!$B$11:$J$21,9,FALSE)*10,O15*VLOOKUP($C15,'IBNR+Freq'!$B$11:$J$21,9,FALSE)),0)</f>
        <v>3298603.2603718829</v>
      </c>
      <c r="T15" s="186">
        <f>+IFERROR(IF(D15=1,P15*VLOOKUP($C15,'IBNR+Freq'!$B$11:$J$21,9,FALSE)*10,P15*VLOOKUP($C15,'IBNR+Freq'!$B$11:$J$21,9,FALSE)),0)</f>
        <v>624219.50822189427</v>
      </c>
      <c r="U15" s="186">
        <f>+IFERROR(IF(D15=1,Q15*VLOOKUP($C15,'IBNR+Freq'!$B$11:$J$21,9,FALSE)*10,Q15*VLOOKUP($C15,'IBNR+Freq'!$B$11:$J$21,9,FALSE)),0)</f>
        <v>60062.358179426265</v>
      </c>
      <c r="V15" s="187">
        <f t="shared" si="10"/>
        <v>3982885.1267732033</v>
      </c>
      <c r="W15" s="249">
        <f>+IFERROR(IF(D15=1,VLOOKUP(C15,'IBNR+Freq'!B$11:J$21,9,FALSE)*10,VLOOKUP(C15,'IBNR+Freq'!B$11:J$21,9,FALSE)),0)</f>
        <v>577230</v>
      </c>
      <c r="X15" s="186">
        <f t="shared" si="11"/>
        <v>3435687.1788062528</v>
      </c>
      <c r="Y15" s="186">
        <f t="shared" si="12"/>
        <v>650160.92930100439</v>
      </c>
      <c r="Z15" s="186">
        <f t="shared" si="13"/>
        <v>62558.439932742702</v>
      </c>
      <c r="AA15" s="476">
        <f>+IF($D15=1, _xlfn.XLOOKUP($W15,Credibility!B$12:B$112,Credibility!$E$12:$E$112,,-1,-2),_xlfn.XLOOKUP(X15*AA$4,Credibility!B$12:B$112,Credibility!$E$12:$E$112,,-1,-2))</f>
        <v>0.01</v>
      </c>
      <c r="AB15" s="477">
        <f>+IF($D15=1, _xlfn.XLOOKUP($W15,Credibility!C$12:C$112,Credibility!$E$12:$E$112,,-1,-2),_xlfn.XLOOKUP(Y15*AB$4,Credibility!C$12:C$112,Credibility!$E$12:$E$112,,-1,-2))</f>
        <v>0.05</v>
      </c>
      <c r="AC15" s="478">
        <f>+IF($D15=1, _xlfn.XLOOKUP($W15,Credibility!D$12:D$112,Credibility!$E$12:$E$112,,-1,-2),_xlfn.XLOOKUP(Z15*AC$4,Credibility!D$12:D$112,Credibility!$E$12:$E$112,,-1,-2))</f>
        <v>7.0000000000000007E-2</v>
      </c>
      <c r="AJ15" s="472"/>
      <c r="AK15" s="472"/>
      <c r="AL15" s="472"/>
      <c r="AM15" s="472"/>
    </row>
    <row r="16" spans="1:39">
      <c r="B16" s="315">
        <v>6</v>
      </c>
      <c r="C16" s="188" t="s">
        <v>491</v>
      </c>
      <c r="D16" s="188">
        <v>1</v>
      </c>
      <c r="E16" s="189">
        <f t="shared" si="6"/>
        <v>0.69910000000000005</v>
      </c>
      <c r="F16" s="184">
        <f>+IFERROR(VLOOKUP($C16,'PYV(Pre-Surcharge)'!$H$8:$M$18,2,FALSE),0)</f>
        <v>26.12</v>
      </c>
      <c r="G16" s="183">
        <f>+IFERROR(VLOOKUP($C16,'PYV(Pre-Surcharge)'!$H$8:$M$18,4,FALSE),0)</f>
        <v>15.869</v>
      </c>
      <c r="H16" s="183">
        <f>+IFERROR(VLOOKUP($C16,'PYV(Pre-Surcharge)'!$H$8:$M$18,5,FALSE),0)</f>
        <v>3.2269999999999999</v>
      </c>
      <c r="I16" s="183">
        <f>+IFERROR(VLOOKUP($C16,'PYV(Pre-Surcharge)'!$H$8:$M$18,6,FALSE),0)</f>
        <v>0.15</v>
      </c>
      <c r="J16" s="184">
        <f t="shared" si="7"/>
        <v>19.245999999999999</v>
      </c>
      <c r="K16" s="183">
        <f t="shared" si="14"/>
        <v>15.056414192455577</v>
      </c>
      <c r="L16" s="183">
        <f t="shared" si="15"/>
        <v>3.0617586866881434</v>
      </c>
      <c r="M16" s="183">
        <f t="shared" si="16"/>
        <v>0.14231912085628184</v>
      </c>
      <c r="N16" s="228">
        <f t="shared" si="17"/>
        <v>18.260492000000003</v>
      </c>
      <c r="O16" s="183">
        <f t="shared" si="3"/>
        <v>14.455663266176598</v>
      </c>
      <c r="P16" s="183">
        <f t="shared" si="4"/>
        <v>2.9395945150892864</v>
      </c>
      <c r="Q16" s="183">
        <f t="shared" si="5"/>
        <v>0.13664058793411618</v>
      </c>
      <c r="R16" s="184">
        <f t="shared" si="9"/>
        <v>17.5318983692</v>
      </c>
      <c r="S16" s="185">
        <f>+IFERROR(IF(D16=1,O16*VLOOKUP($C16,'IBNR+Freq'!$B$11:$J$21,9,FALSE)*10,O16*VLOOKUP($C16,'IBNR+Freq'!$B$11:$J$21,9,FALSE)),0)</f>
        <v>1267472.555178364</v>
      </c>
      <c r="T16" s="186">
        <f>+IFERROR(IF(D16=1,P16*VLOOKUP($C16,'IBNR+Freq'!$B$11:$J$21,9,FALSE)*10,P16*VLOOKUP($C16,'IBNR+Freq'!$B$11:$J$21,9,FALSE)),0)</f>
        <v>257743.64708302863</v>
      </c>
      <c r="U16" s="186">
        <f>+IFERROR(IF(D16=1,Q16*VLOOKUP($C16,'IBNR+Freq'!$B$11:$J$21,9,FALSE)*10,Q16*VLOOKUP($C16,'IBNR+Freq'!$B$11:$J$21,9,FALSE)),0)</f>
        <v>11980.646750063306</v>
      </c>
      <c r="V16" s="187">
        <f t="shared" si="10"/>
        <v>1537196.8490114561</v>
      </c>
      <c r="W16" s="249">
        <f>+IFERROR(IF(D16=1,VLOOKUP(C16,'IBNR+Freq'!B$11:J$21,9,FALSE)*10,VLOOKUP(C16,'IBNR+Freq'!B$11:J$21,9,FALSE)),0)</f>
        <v>87680</v>
      </c>
      <c r="X16" s="186">
        <f t="shared" si="11"/>
        <v>1320146.3963945049</v>
      </c>
      <c r="Y16" s="186">
        <f t="shared" si="12"/>
        <v>268455.0016488164</v>
      </c>
      <c r="Z16" s="186">
        <f t="shared" si="13"/>
        <v>12478.540516678791</v>
      </c>
      <c r="AA16" s="476">
        <f>+IF($D16=1, _xlfn.XLOOKUP($W16,Credibility!B$12:B$112,Credibility!$E$12:$E$112,,-1,-2),_xlfn.XLOOKUP(X16*AA$4,Credibility!B$12:B$112,Credibility!$E$12:$E$112,,-1,-2))</f>
        <v>0</v>
      </c>
      <c r="AB16" s="477">
        <f>+IF($D16=1, _xlfn.XLOOKUP($W16,Credibility!C$12:C$112,Credibility!$E$12:$E$112,,-1,-2),_xlfn.XLOOKUP(Y16*AB$4,Credibility!C$12:C$112,Credibility!$E$12:$E$112,,-1,-2))</f>
        <v>0.01</v>
      </c>
      <c r="AC16" s="478">
        <f>+IF($D16=1, _xlfn.XLOOKUP($W16,Credibility!D$12:D$112,Credibility!$E$12:$E$112,,-1,-2),_xlfn.XLOOKUP(Z16*AC$4,Credibility!D$12:D$112,Credibility!$E$12:$E$112,,-1,-2))</f>
        <v>0.02</v>
      </c>
      <c r="AJ16" s="472"/>
      <c r="AK16" s="472"/>
      <c r="AL16" s="472"/>
      <c r="AM16" s="472"/>
    </row>
    <row r="17" spans="2:39">
      <c r="B17" s="315">
        <v>6</v>
      </c>
      <c r="C17" s="188" t="s">
        <v>492</v>
      </c>
      <c r="D17" s="188">
        <v>1</v>
      </c>
      <c r="E17" s="189">
        <f t="shared" si="6"/>
        <v>0.69910000000000005</v>
      </c>
      <c r="F17" s="184">
        <f>+IFERROR(VLOOKUP($C17,'PYV(Pre-Surcharge)'!$H$8:$M$18,2,FALSE),0)</f>
        <v>24.06</v>
      </c>
      <c r="G17" s="183">
        <f>+IFERROR(VLOOKUP($C17,'PYV(Pre-Surcharge)'!$H$8:$M$18,4,FALSE),0)</f>
        <v>11.930999999999999</v>
      </c>
      <c r="H17" s="183">
        <f>+IFERROR(VLOOKUP($C17,'PYV(Pre-Surcharge)'!$H$8:$M$18,5,FALSE),0)</f>
        <v>3.4620000000000002</v>
      </c>
      <c r="I17" s="183">
        <f>+IFERROR(VLOOKUP($C17,'PYV(Pre-Surcharge)'!$H$8:$M$18,6,FALSE),0)</f>
        <v>0.13400000000000001</v>
      </c>
      <c r="J17" s="184">
        <f t="shared" si="7"/>
        <v>15.526999999999999</v>
      </c>
      <c r="K17" s="183">
        <f t="shared" si="14"/>
        <v>12.924811497778064</v>
      </c>
      <c r="L17" s="183">
        <f t="shared" si="15"/>
        <v>3.7503727604817421</v>
      </c>
      <c r="M17" s="183">
        <f t="shared" si="16"/>
        <v>0.14516174174019453</v>
      </c>
      <c r="N17" s="228">
        <f t="shared" si="17"/>
        <v>16.820346000000001</v>
      </c>
      <c r="O17" s="183">
        <f t="shared" si="3"/>
        <v>12.409111519016719</v>
      </c>
      <c r="P17" s="183">
        <f t="shared" si="4"/>
        <v>3.6007328873385203</v>
      </c>
      <c r="Q17" s="183">
        <f t="shared" si="5"/>
        <v>0.13936978824476076</v>
      </c>
      <c r="R17" s="184">
        <f t="shared" si="9"/>
        <v>16.149214194599999</v>
      </c>
      <c r="S17" s="185">
        <f>+IFERROR(IF(D17=1,O17*VLOOKUP($C17,'IBNR+Freq'!$B$11:$J$21,9,FALSE)*10,O17*VLOOKUP($C17,'IBNR+Freq'!$B$11:$J$21,9,FALSE)),0)</f>
        <v>5416825.3602811778</v>
      </c>
      <c r="T17" s="186">
        <f>+IFERROR(IF(D17=1,P17*VLOOKUP($C17,'IBNR+Freq'!$B$11:$J$21,9,FALSE)*10,P17*VLOOKUP($C17,'IBNR+Freq'!$B$11:$J$21,9,FALSE)),0)</f>
        <v>1571791.9199810107</v>
      </c>
      <c r="U17" s="186">
        <f>+IFERROR(IF(D17=1,Q17*VLOOKUP($C17,'IBNR+Freq'!$B$11:$J$21,9,FALSE)*10,Q17*VLOOKUP($C17,'IBNR+Freq'!$B$11:$J$21,9,FALSE)),0)</f>
        <v>60837.699964602973</v>
      </c>
      <c r="V17" s="187">
        <f t="shared" si="10"/>
        <v>7049454.9802267924</v>
      </c>
      <c r="W17" s="249">
        <f>+IFERROR(IF(D17=1,VLOOKUP(C17,'IBNR+Freq'!B$11:J$21,9,FALSE)*10,VLOOKUP(C17,'IBNR+Freq'!B$11:J$21,9,FALSE)),0)</f>
        <v>436520</v>
      </c>
      <c r="X17" s="186">
        <f t="shared" si="11"/>
        <v>5641938.7150100805</v>
      </c>
      <c r="Y17" s="186">
        <f t="shared" si="12"/>
        <v>1637112.7174054901</v>
      </c>
      <c r="Z17" s="186">
        <f t="shared" si="13"/>
        <v>63366.003504429718</v>
      </c>
      <c r="AA17" s="476">
        <f>+IF($D17=1, _xlfn.XLOOKUP($W17,Credibility!B$12:B$112,Credibility!$E$12:$E$112,,-1,-2),_xlfn.XLOOKUP(X17*AA$4,Credibility!B$12:B$112,Credibility!$E$12:$E$112,,-1,-2))</f>
        <v>0.01</v>
      </c>
      <c r="AB17" s="477">
        <f>+IF($D17=1, _xlfn.XLOOKUP($W17,Credibility!C$12:C$112,Credibility!$E$12:$E$112,,-1,-2),_xlfn.XLOOKUP(Y17*AB$4,Credibility!C$12:C$112,Credibility!$E$12:$E$112,,-1,-2))</f>
        <v>0.04</v>
      </c>
      <c r="AC17" s="478">
        <f>+IF($D17=1, _xlfn.XLOOKUP($W17,Credibility!D$12:D$112,Credibility!$E$12:$E$112,,-1,-2),_xlfn.XLOOKUP(Z17*AC$4,Credibility!D$12:D$112,Credibility!$E$12:$E$112,,-1,-2))</f>
        <v>0.06</v>
      </c>
      <c r="AJ17" s="472"/>
      <c r="AK17" s="472"/>
      <c r="AL17" s="472"/>
      <c r="AM17" s="472"/>
    </row>
    <row r="18" spans="2:39">
      <c r="B18" s="315">
        <v>6</v>
      </c>
      <c r="C18" s="188" t="s">
        <v>493</v>
      </c>
      <c r="D18" s="188">
        <v>1</v>
      </c>
      <c r="E18" s="189">
        <f t="shared" si="6"/>
        <v>0.69910000000000005</v>
      </c>
      <c r="F18" s="184">
        <f>+IFERROR(VLOOKUP($C18,'PYV(Pre-Surcharge)'!$H$8:$M$18,2,FALSE),0)</f>
        <v>12.18</v>
      </c>
      <c r="G18" s="183">
        <f>+IFERROR(VLOOKUP($C18,'PYV(Pre-Surcharge)'!$H$8:$M$18,4,FALSE),0)</f>
        <v>6.0640000000000001</v>
      </c>
      <c r="H18" s="183">
        <f>+IFERROR(VLOOKUP($C18,'PYV(Pre-Surcharge)'!$H$8:$M$18,5,FALSE),0)</f>
        <v>1.345</v>
      </c>
      <c r="I18" s="183">
        <f>+IFERROR(VLOOKUP($C18,'PYV(Pre-Surcharge)'!$H$8:$M$18,6,FALSE),0)</f>
        <v>7.2999999999999995E-2</v>
      </c>
      <c r="J18" s="184">
        <f t="shared" ref="J18" si="18">+G18+H18+I18</f>
        <v>7.4820000000000002</v>
      </c>
      <c r="K18" s="183">
        <f t="shared" ref="K18" si="19">+($F18*$E18*G18/$J18)</f>
        <v>6.9012550697674415</v>
      </c>
      <c r="L18" s="183">
        <f t="shared" ref="L18" si="20">($F18*$E18*H18/$J18)</f>
        <v>1.5307038372093023</v>
      </c>
      <c r="M18" s="183">
        <f t="shared" ref="M18" si="21">+($F18*$E18*I18/$J18)</f>
        <v>8.3079093023255821E-2</v>
      </c>
      <c r="N18" s="228">
        <f t="shared" ref="N18" si="22">+SUM(K18:M18)</f>
        <v>8.5150380000000006</v>
      </c>
      <c r="O18" s="183">
        <f t="shared" ref="O18" si="23">+(K18*VLOOKUP($B18,$O$4:$P$6,2,FALSE))</f>
        <v>6.6258949924837207</v>
      </c>
      <c r="P18" s="183">
        <f t="shared" ref="P18" si="24">+(L18*VLOOKUP($B18,$O$4:$P$6,2,FALSE))</f>
        <v>1.4696287541046511</v>
      </c>
      <c r="Q18" s="183">
        <f t="shared" ref="Q18" si="25">+(M18*VLOOKUP($B18,$O$4:$P$6,2,FALSE))</f>
        <v>7.9764237211627911E-2</v>
      </c>
      <c r="R18" s="184">
        <f t="shared" ref="R18" si="26">+SUM(O18:Q18)</f>
        <v>8.1752879837999988</v>
      </c>
      <c r="S18" s="185">
        <f>+IFERROR(IF(D18=1,O18*VLOOKUP($C18,'IBNR+Freq'!$B$11:$J$21,9,FALSE)*10,O18*VLOOKUP($C18,'IBNR+Freq'!$B$11:$J$21,9,FALSE)),0)</f>
        <v>7224809.6408543251</v>
      </c>
      <c r="T18" s="186">
        <f>+IFERROR(IF(D18=1,P18*VLOOKUP($C18,'IBNR+Freq'!$B$11:$J$21,9,FALSE)*10,P18*VLOOKUP($C18,'IBNR+Freq'!$B$11:$J$21,9,FALSE)),0)</f>
        <v>1602468.4971881704</v>
      </c>
      <c r="U18" s="186">
        <f>+IFERROR(IF(D18=1,Q18*VLOOKUP($C18,'IBNR+Freq'!$B$11:$J$21,9,FALSE)*10,Q18*VLOOKUP($C18,'IBNR+Freq'!$B$11:$J$21,9,FALSE)),0)</f>
        <v>86974.126613186963</v>
      </c>
      <c r="V18" s="187">
        <f t="shared" ref="V18" si="27">+S18+T18+U18</f>
        <v>8914252.2646556813</v>
      </c>
      <c r="W18" s="249">
        <f>+IFERROR(IF(D18=1,VLOOKUP(C18,'IBNR+Freq'!B$11:J$21,9,FALSE)*10,VLOOKUP(C18,'IBNR+Freq'!B$11:J$21,9,FALSE)),0)</f>
        <v>1090390</v>
      </c>
      <c r="X18" s="186">
        <f t="shared" ref="X18" si="28">+$W18*K18</f>
        <v>7525059.5155237205</v>
      </c>
      <c r="Y18" s="186">
        <f t="shared" ref="Y18" si="29">+$W18*L18</f>
        <v>1669064.1570546511</v>
      </c>
      <c r="Z18" s="186">
        <f t="shared" ref="Z18" si="30">+$W18*M18</f>
        <v>90588.61224162791</v>
      </c>
      <c r="AA18" s="476">
        <f>+IF($D18=1, _xlfn.XLOOKUP($W18,Credibility!B$12:B$112,Credibility!$E$12:$E$112,,-1,-2),_xlfn.XLOOKUP(X18*AA$4,Credibility!B$12:B$112,Credibility!$E$12:$E$112,,-1,-2))</f>
        <v>0.02</v>
      </c>
      <c r="AB18" s="477">
        <f>+IF($D18=1, _xlfn.XLOOKUP($W18,Credibility!C$12:C$112,Credibility!$E$12:$E$112,,-1,-2),_xlfn.XLOOKUP(Y18*AB$4,Credibility!C$12:C$112,Credibility!$E$12:$E$112,,-1,-2))</f>
        <v>7.0000000000000007E-2</v>
      </c>
      <c r="AC18" s="478">
        <f>+IF($D18=1, _xlfn.XLOOKUP($W18,Credibility!D$12:D$112,Credibility!$E$12:$E$112,,-1,-2),_xlfn.XLOOKUP(Z18*AC$4,Credibility!D$12:D$112,Credibility!$E$12:$E$112,,-1,-2))</f>
        <v>0.11</v>
      </c>
      <c r="AJ18" s="472"/>
      <c r="AK18" s="472"/>
      <c r="AL18" s="472"/>
      <c r="AM18" s="472"/>
    </row>
    <row r="19" spans="2:39">
      <c r="B19" s="315">
        <v>6</v>
      </c>
      <c r="C19" s="188" t="s">
        <v>494</v>
      </c>
      <c r="D19" s="188">
        <v>1</v>
      </c>
      <c r="E19" s="189">
        <f t="shared" si="6"/>
        <v>0.69910000000000005</v>
      </c>
      <c r="F19" s="184">
        <f>+IFERROR(VLOOKUP($C19,'PYV(Pre-Surcharge)'!$H$8:$M$18,2,FALSE),0)</f>
        <v>6.42</v>
      </c>
      <c r="G19" s="183">
        <f>+IFERROR(VLOOKUP($C19,'PYV(Pre-Surcharge)'!$H$8:$M$18,4,FALSE),0)</f>
        <v>3.1240000000000001</v>
      </c>
      <c r="H19" s="183">
        <f>+IFERROR(VLOOKUP($C19,'PYV(Pre-Surcharge)'!$H$8:$M$18,5,FALSE),0)</f>
        <v>0.872</v>
      </c>
      <c r="I19" s="183">
        <f>+IFERROR(VLOOKUP($C19,'PYV(Pre-Surcharge)'!$H$8:$M$18,6,FALSE),0)</f>
        <v>5.0999999999999997E-2</v>
      </c>
      <c r="J19" s="184">
        <f t="shared" si="7"/>
        <v>4.0469999999999997</v>
      </c>
      <c r="K19" s="183">
        <f t="shared" si="14"/>
        <v>3.464592421052632</v>
      </c>
      <c r="L19" s="183">
        <f t="shared" si="15"/>
        <v>0.96706933135656059</v>
      </c>
      <c r="M19" s="183">
        <f t="shared" si="16"/>
        <v>5.6560247590808015E-2</v>
      </c>
      <c r="N19" s="228">
        <f t="shared" si="17"/>
        <v>4.4882220000000004</v>
      </c>
      <c r="O19" s="183">
        <f t="shared" si="3"/>
        <v>3.3263551834526317</v>
      </c>
      <c r="P19" s="183">
        <f t="shared" si="4"/>
        <v>0.92848326503543377</v>
      </c>
      <c r="Q19" s="183">
        <f t="shared" si="5"/>
        <v>5.4303493711934769E-2</v>
      </c>
      <c r="R19" s="184">
        <f t="shared" si="9"/>
        <v>4.3091419422000001</v>
      </c>
      <c r="S19" s="185">
        <f>+IFERROR(IF(D19=1,O19*VLOOKUP($C19,'IBNR+Freq'!$B$11:$J$21,9,FALSE)*10,O19*VLOOKUP($C19,'IBNR+Freq'!$B$11:$J$21,9,FALSE)),0)</f>
        <v>781660.20455953386</v>
      </c>
      <c r="T19" s="186">
        <f>+IFERROR(IF(D19=1,P19*VLOOKUP($C19,'IBNR+Freq'!$B$11:$J$21,9,FALSE)*10,P19*VLOOKUP($C19,'IBNR+Freq'!$B$11:$J$21,9,FALSE)),0)</f>
        <v>218184.28245067658</v>
      </c>
      <c r="U19" s="186">
        <f>+IFERROR(IF(D19=1,Q19*VLOOKUP($C19,'IBNR+Freq'!$B$11:$J$21,9,FALSE)*10,Q19*VLOOKUP($C19,'IBNR+Freq'!$B$11:$J$21,9,FALSE)),0)</f>
        <v>12760.77798736755</v>
      </c>
      <c r="V19" s="187">
        <f t="shared" si="10"/>
        <v>1012605.264997578</v>
      </c>
      <c r="W19" s="249">
        <f>+IFERROR(IF(D19=1,VLOOKUP(C19,'IBNR+Freq'!B$11:J$21,9,FALSE)*10,VLOOKUP(C19,'IBNR+Freq'!B$11:J$21,9,FALSE)),0)</f>
        <v>234990</v>
      </c>
      <c r="X19" s="186">
        <f t="shared" si="11"/>
        <v>814144.57302315801</v>
      </c>
      <c r="Y19" s="186">
        <f t="shared" si="12"/>
        <v>227251.62217547817</v>
      </c>
      <c r="Z19" s="186">
        <f t="shared" si="13"/>
        <v>13291.092581363975</v>
      </c>
      <c r="AA19" s="476">
        <f>+IF($D19=1, _xlfn.XLOOKUP($W19,Credibility!B$12:B$112,Credibility!$E$12:$E$112,,-1,-2),_xlfn.XLOOKUP(X19*AA$4,Credibility!B$12:B$112,Credibility!$E$12:$E$112,,-1,-2))</f>
        <v>0.01</v>
      </c>
      <c r="AB19" s="477">
        <f>+IF($D19=1, _xlfn.XLOOKUP($W19,Credibility!C$12:C$112,Credibility!$E$12:$E$112,,-1,-2),_xlfn.XLOOKUP(Y19*AB$4,Credibility!C$12:C$112,Credibility!$E$12:$E$112,,-1,-2))</f>
        <v>0.02</v>
      </c>
      <c r="AC19" s="478">
        <f>+IF($D19=1, _xlfn.XLOOKUP($W19,Credibility!D$12:D$112,Credibility!$E$12:$E$112,,-1,-2),_xlfn.XLOOKUP(Z19*AC$4,Credibility!D$12:D$112,Credibility!$E$12:$E$112,,-1,-2))</f>
        <v>0.04</v>
      </c>
      <c r="AJ19" s="472"/>
      <c r="AK19" s="472"/>
      <c r="AL19" s="472"/>
      <c r="AM19" s="472"/>
    </row>
    <row r="20" spans="2:39">
      <c r="B20" s="124">
        <v>6</v>
      </c>
      <c r="C20" s="108" t="s">
        <v>495</v>
      </c>
      <c r="D20" s="108">
        <v>1</v>
      </c>
      <c r="E20" s="551">
        <f t="shared" si="6"/>
        <v>0.69910000000000005</v>
      </c>
      <c r="F20" s="552">
        <f>+IFERROR(VLOOKUP($C20,'PYV(Pre-Surcharge)'!$H$8:$M$18,2,FALSE),0)</f>
        <v>3.43</v>
      </c>
      <c r="G20" s="553">
        <f>+IFERROR(VLOOKUP($C20,'PYV(Pre-Surcharge)'!$H$8:$M$18,4,FALSE),0)</f>
        <v>1.8759999999999999</v>
      </c>
      <c r="H20" s="553">
        <f>+IFERROR(VLOOKUP($C20,'PYV(Pre-Surcharge)'!$H$8:$M$18,5,FALSE),0)</f>
        <v>0.35299999999999998</v>
      </c>
      <c r="I20" s="553">
        <f>+IFERROR(VLOOKUP($C20,'PYV(Pre-Surcharge)'!$H$8:$M$18,6,FALSE),0)</f>
        <v>0.02</v>
      </c>
      <c r="J20" s="552">
        <f t="shared" si="7"/>
        <v>2.2490000000000001</v>
      </c>
      <c r="K20" s="553">
        <f t="shared" si="14"/>
        <v>2.0002155571365052</v>
      </c>
      <c r="L20" s="553">
        <f t="shared" si="15"/>
        <v>0.37637318319253005</v>
      </c>
      <c r="M20" s="553">
        <f t="shared" si="16"/>
        <v>2.1324259670964876E-2</v>
      </c>
      <c r="N20" s="554">
        <f t="shared" si="17"/>
        <v>2.3979130000000004</v>
      </c>
      <c r="O20" s="553">
        <f t="shared" si="3"/>
        <v>1.9204069564067585</v>
      </c>
      <c r="P20" s="553">
        <f t="shared" si="4"/>
        <v>0.36135589318314809</v>
      </c>
      <c r="Q20" s="553">
        <f t="shared" si="5"/>
        <v>2.0473421710093375E-2</v>
      </c>
      <c r="R20" s="552">
        <f t="shared" si="9"/>
        <v>2.3022362713</v>
      </c>
      <c r="S20" s="555">
        <f>+IFERROR(IF(D20=1,O20*VLOOKUP($C20,'IBNR+Freq'!$B$11:$J$21,9,FALSE)*10,O20*VLOOKUP($C20,'IBNR+Freq'!$B$11:$J$21,9,FALSE)),0)</f>
        <v>21681.394537832304</v>
      </c>
      <c r="T20" s="556">
        <f>+IFERROR(IF(D20=1,P20*VLOOKUP($C20,'IBNR+Freq'!$B$11:$J$21,9,FALSE)*10,P20*VLOOKUP($C20,'IBNR+Freq'!$B$11:$J$21,9,FALSE)),0)</f>
        <v>4079.708034037742</v>
      </c>
      <c r="U20" s="556">
        <f>+IFERROR(IF(D20=1,Q20*VLOOKUP($C20,'IBNR+Freq'!$B$11:$J$21,9,FALSE)*10,Q20*VLOOKUP($C20,'IBNR+Freq'!$B$11:$J$21,9,FALSE)),0)</f>
        <v>231.1449311069542</v>
      </c>
      <c r="V20" s="557">
        <f t="shared" si="10"/>
        <v>25992.247502977003</v>
      </c>
      <c r="W20" s="558">
        <f>+IFERROR(IF(D20=1,VLOOKUP(C20,'IBNR+Freq'!B$11:J$21,9,FALSE)*10,VLOOKUP(C20,'IBNR+Freq'!B$11:J$21,9,FALSE)),0)</f>
        <v>11290</v>
      </c>
      <c r="X20" s="556">
        <f t="shared" si="11"/>
        <v>22582.433640071144</v>
      </c>
      <c r="Y20" s="556">
        <f t="shared" si="12"/>
        <v>4249.2532382436639</v>
      </c>
      <c r="Z20" s="556">
        <f t="shared" si="13"/>
        <v>240.75089168519344</v>
      </c>
      <c r="AA20" s="559">
        <f>+IF($D20=1, _xlfn.XLOOKUP($W20,Credibility!B$12:B$112,Credibility!$E$12:$E$112,,-1,-2),_xlfn.XLOOKUP(X20*AA$4,Credibility!B$12:B$112,Credibility!$E$12:$E$112,,-1,-2))</f>
        <v>0</v>
      </c>
      <c r="AB20" s="560">
        <f>+IF($D20=1, _xlfn.XLOOKUP($W20,Credibility!C$12:C$112,Credibility!$E$12:$E$112,,-1,-2),_xlfn.XLOOKUP(Y20*AB$4,Credibility!C$12:C$112,Credibility!$E$12:$E$112,,-1,-2))</f>
        <v>0</v>
      </c>
      <c r="AC20" s="561">
        <f>+IF($D20=1, _xlfn.XLOOKUP($W20,Credibility!D$12:D$112,Credibility!$E$12:$E$112,,-1,-2),_xlfn.XLOOKUP(Z20*AC$4,Credibility!D$12:D$112,Credibility!$E$12:$E$112,,-1,-2))</f>
        <v>0.01</v>
      </c>
      <c r="AJ20" s="472"/>
      <c r="AK20" s="472"/>
      <c r="AL20" s="472"/>
      <c r="AM20" s="472"/>
    </row>
  </sheetData>
  <sortState xmlns:xlrd2="http://schemas.microsoft.com/office/spreadsheetml/2017/richdata2" ref="B10:D20">
    <sortCondition ref="C10:C20"/>
  </sortState>
  <pageMargins left="0.7" right="0.7" top="0.75" bottom="0.75" header="0.3" footer="0.3"/>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4570715-6456-45A1-8BF0-87D04691C432}">
  <sheetPr codeName="Sheet15"/>
  <dimension ref="A1:AB21"/>
  <sheetViews>
    <sheetView workbookViewId="0">
      <pane ySplit="10" topLeftCell="A11" activePane="bottomLeft" state="frozen"/>
      <selection activeCell="M34" sqref="M34"/>
      <selection pane="bottomLeft" activeCell="M34" sqref="M34"/>
    </sheetView>
  </sheetViews>
  <sheetFormatPr defaultColWidth="9.296875" defaultRowHeight="14.6"/>
  <cols>
    <col min="1" max="1" width="9.296875" style="94"/>
    <col min="2" max="2" width="6.796875" style="94" bestFit="1" customWidth="1"/>
    <col min="3" max="3" width="6.5" style="94" bestFit="1" customWidth="1"/>
    <col min="4" max="4" width="5.796875" style="94" customWidth="1"/>
    <col min="5" max="9" width="12.296875" style="94" bestFit="1" customWidth="1"/>
    <col min="10" max="10" width="19.19921875" style="94" bestFit="1" customWidth="1"/>
    <col min="11" max="11" width="13.69921875" style="94" bestFit="1" customWidth="1"/>
    <col min="12" max="12" width="14.19921875" style="94" bestFit="1" customWidth="1"/>
    <col min="13" max="13" width="12.296875" style="94" customWidth="1"/>
    <col min="14" max="14" width="13.69921875" style="94" bestFit="1" customWidth="1"/>
    <col min="15" max="17" width="16.296875" style="94" customWidth="1"/>
    <col min="18" max="18" width="18" style="94" bestFit="1" customWidth="1"/>
    <col min="19" max="22" width="16" style="94" customWidth="1"/>
    <col min="23" max="23" width="12.19921875" style="94" bestFit="1" customWidth="1"/>
    <col min="24" max="24" width="11" style="94" bestFit="1" customWidth="1"/>
    <col min="25" max="25" width="11.296875" style="94" bestFit="1" customWidth="1"/>
    <col min="26" max="28" width="20.19921875" style="94" customWidth="1"/>
    <col min="29" max="16384" width="9.296875" style="94"/>
  </cols>
  <sheetData>
    <row r="1" spans="1:28">
      <c r="O1" s="112" t="s">
        <v>186</v>
      </c>
      <c r="P1" s="112"/>
      <c r="Q1" s="112"/>
      <c r="R1" s="112"/>
    </row>
    <row r="2" spans="1:28">
      <c r="C2" s="114"/>
      <c r="D2" s="114"/>
      <c r="O2" s="119"/>
      <c r="P2" s="155" t="s">
        <v>31</v>
      </c>
      <c r="Q2" s="155" t="s">
        <v>32</v>
      </c>
      <c r="R2" s="155" t="s">
        <v>1</v>
      </c>
    </row>
    <row r="3" spans="1:28">
      <c r="A3"/>
      <c r="O3" s="154">
        <f>'CB Item 1'!B34</f>
        <v>2015</v>
      </c>
      <c r="P3" s="153">
        <f>+'CB Item 1'!D34</f>
        <v>0</v>
      </c>
      <c r="Q3" s="153">
        <f>+'CB Item 1'!G34</f>
        <v>0</v>
      </c>
      <c r="R3" s="153">
        <f>+'CB Item 1'!J34</f>
        <v>0</v>
      </c>
    </row>
    <row r="4" spans="1:28">
      <c r="A4"/>
      <c r="O4" s="154">
        <f>'CB Item 1'!B35</f>
        <v>2016</v>
      </c>
      <c r="P4" s="153">
        <f>+'CB Item 1'!D35</f>
        <v>0</v>
      </c>
      <c r="Q4" s="153">
        <f>+'CB Item 1'!G35</f>
        <v>0</v>
      </c>
      <c r="R4" s="153">
        <f>+'CB Item 1'!J35</f>
        <v>0</v>
      </c>
    </row>
    <row r="5" spans="1:28">
      <c r="B5" s="112"/>
      <c r="C5" s="112"/>
      <c r="D5" s="112"/>
      <c r="E5" s="112"/>
      <c r="F5" s="112"/>
      <c r="G5" s="112"/>
      <c r="H5" s="112"/>
      <c r="I5" s="112"/>
      <c r="J5" s="112"/>
      <c r="K5" s="112"/>
      <c r="L5" s="112"/>
      <c r="M5" s="112"/>
      <c r="N5" s="112"/>
      <c r="O5" s="154">
        <f>'CB Item 1'!B36</f>
        <v>2017</v>
      </c>
      <c r="P5" s="153">
        <f>+'CB Item 1'!D36</f>
        <v>0</v>
      </c>
      <c r="Q5" s="153">
        <f>+'CB Item 1'!G36</f>
        <v>0</v>
      </c>
      <c r="R5" s="153">
        <f>+'CB Item 1'!J36</f>
        <v>0</v>
      </c>
    </row>
    <row r="6" spans="1:28">
      <c r="O6" s="154">
        <f>'CB Item 1'!B37</f>
        <v>2018</v>
      </c>
      <c r="P6" s="153">
        <f>+'CB Item 1'!D37</f>
        <v>0</v>
      </c>
      <c r="Q6" s="153">
        <f>+'CB Item 1'!G37</f>
        <v>0</v>
      </c>
      <c r="R6" s="153">
        <f>+'CB Item 1'!J37</f>
        <v>0</v>
      </c>
    </row>
    <row r="7" spans="1:28">
      <c r="O7" s="154">
        <f>'CB Item 1'!B38</f>
        <v>2019</v>
      </c>
      <c r="P7" s="153">
        <f>+'CB Item 1'!D38</f>
        <v>0</v>
      </c>
      <c r="Q7" s="153">
        <f>+'CB Item 1'!G38</f>
        <v>0</v>
      </c>
      <c r="R7" s="153">
        <f>+'CB Item 1'!J38</f>
        <v>0</v>
      </c>
    </row>
    <row r="8" spans="1:28">
      <c r="E8" s="175" t="s">
        <v>275</v>
      </c>
      <c r="F8" s="174"/>
      <c r="G8" s="174"/>
    </row>
    <row r="9" spans="1:28">
      <c r="B9" s="115"/>
      <c r="C9" s="99"/>
      <c r="D9" s="172"/>
      <c r="E9" s="116" t="s">
        <v>2</v>
      </c>
      <c r="F9" s="116"/>
      <c r="G9" s="116"/>
      <c r="H9" s="116"/>
      <c r="I9" s="116"/>
      <c r="J9" s="117"/>
      <c r="K9" s="142" t="s">
        <v>164</v>
      </c>
      <c r="L9" s="116"/>
      <c r="M9" s="116"/>
      <c r="N9" s="117"/>
      <c r="O9" s="116" t="s">
        <v>34</v>
      </c>
      <c r="P9" s="116"/>
      <c r="Q9" s="116"/>
      <c r="R9" s="118"/>
      <c r="S9" s="116" t="s">
        <v>178</v>
      </c>
      <c r="T9" s="116"/>
      <c r="U9" s="116"/>
      <c r="V9" s="118"/>
      <c r="W9" s="142" t="s">
        <v>179</v>
      </c>
      <c r="X9" s="116"/>
      <c r="Y9" s="117"/>
      <c r="Z9" s="142" t="s">
        <v>187</v>
      </c>
      <c r="AA9" s="116"/>
      <c r="AB9" s="117"/>
    </row>
    <row r="10" spans="1:28">
      <c r="B10" s="120" t="s">
        <v>77</v>
      </c>
      <c r="C10" s="121" t="s">
        <v>85</v>
      </c>
      <c r="D10" s="122" t="s">
        <v>229</v>
      </c>
      <c r="E10" s="122">
        <f>O3</f>
        <v>2015</v>
      </c>
      <c r="F10" s="122">
        <f>O4</f>
        <v>2016</v>
      </c>
      <c r="G10" s="122">
        <f>O5</f>
        <v>2017</v>
      </c>
      <c r="H10" s="122">
        <f>O6</f>
        <v>2018</v>
      </c>
      <c r="I10" s="122">
        <f>O7</f>
        <v>2019</v>
      </c>
      <c r="J10" s="121" t="s">
        <v>76</v>
      </c>
      <c r="K10" s="143" t="s">
        <v>18</v>
      </c>
      <c r="L10" s="122" t="s">
        <v>19</v>
      </c>
      <c r="M10" s="122" t="s">
        <v>148</v>
      </c>
      <c r="N10" s="121" t="s">
        <v>76</v>
      </c>
      <c r="O10" s="122" t="s">
        <v>18</v>
      </c>
      <c r="P10" s="122" t="s">
        <v>19</v>
      </c>
      <c r="Q10" s="122" t="s">
        <v>148</v>
      </c>
      <c r="R10" s="98" t="s">
        <v>76</v>
      </c>
      <c r="S10" s="157" t="s">
        <v>18</v>
      </c>
      <c r="T10" s="157" t="s">
        <v>19</v>
      </c>
      <c r="U10" s="157" t="s">
        <v>148</v>
      </c>
      <c r="V10" s="97" t="s">
        <v>76</v>
      </c>
      <c r="W10" s="692" t="s">
        <v>18</v>
      </c>
      <c r="X10" s="157" t="s">
        <v>19</v>
      </c>
      <c r="Y10" s="693" t="s">
        <v>148</v>
      </c>
      <c r="Z10" s="167" t="s">
        <v>18</v>
      </c>
      <c r="AA10" s="168" t="s">
        <v>19</v>
      </c>
      <c r="AB10" s="169" t="s">
        <v>148</v>
      </c>
    </row>
    <row r="11" spans="1:28">
      <c r="B11" s="141" t="str">
        <f>+UPP!C10</f>
        <v>6824F</v>
      </c>
      <c r="C11" s="141">
        <f>+UPP!B10</f>
        <v>6</v>
      </c>
      <c r="D11" s="141">
        <f>+UPP!D10</f>
        <v>1</v>
      </c>
      <c r="E11" s="297">
        <f>+_xlfn.XLOOKUP($B11,Data_Payroll!$K$6:$K$44,Data_Payroll!L$6:L$44,0,0)</f>
        <v>51</v>
      </c>
      <c r="F11" s="297">
        <f>+_xlfn.XLOOKUP($B11,Data_Payroll!$K$6:$K$44,Data_Payroll!M$6:M$44,0,0)</f>
        <v>4</v>
      </c>
      <c r="G11" s="297">
        <f>+_xlfn.XLOOKUP($B11,Data_Payroll!$K$6:$K$44,Data_Payroll!N$6:N$44,0,0)</f>
        <v>31</v>
      </c>
      <c r="H11" s="297">
        <f>+_xlfn.XLOOKUP($B11,Data_Payroll!$K$6:$K$44,Data_Payroll!O$6:O$44,0,0)</f>
        <v>40</v>
      </c>
      <c r="I11" s="297">
        <f>+_xlfn.XLOOKUP($B11,Data_Payroll!$K$6:$K$44,Data_Payroll!P$6:P$44,0,0)</f>
        <v>52</v>
      </c>
      <c r="J11" s="152">
        <f>+SUM(E11:I11)</f>
        <v>178</v>
      </c>
      <c r="K11" s="123">
        <f>+IFERROR(VLOOKUP($B11,'Translated Loss'!$BI$5:$BL$350,2,FALSE),0)</f>
        <v>0</v>
      </c>
      <c r="L11" s="123">
        <f>+IFERROR(VLOOKUP($B11,'Translated Loss'!$BI$5:$BL$350,3,FALSE),0)</f>
        <v>60188.405400000003</v>
      </c>
      <c r="M11" s="123">
        <f>+IFERROR(VLOOKUP($B11,'Translated Loss'!$BI$5:$BL$350,4,FALSE),0)</f>
        <v>0</v>
      </c>
      <c r="N11" s="152">
        <f t="shared" ref="N11:N14" si="0">+SUM(K11:M11)</f>
        <v>60188.405400000003</v>
      </c>
      <c r="O11" s="123">
        <f>+IFERROR(IF(D11=1,($E11*P$3+$F11*P$4+$G11*P$5+$H11*P$6+$I11*P$7)*10*VLOOKUP($B11,UPP!$C$10:$M$20,9,FALSE),($E11*P$3+$F11*P$4+$G11*P$5+$H11*P$6+$I11*P$7)*VLOOKUP($B11,UPP!$C$10:$M$20,9,FALSE)),0)</f>
        <v>0</v>
      </c>
      <c r="P11" s="123">
        <f>+IFERROR(IF(D11=1,($E11*Q$3+$F11*Q$4+$G11*Q$5+$H11*Q$6+$I11*Q$7)*10*VLOOKUP($B11,UPP!$C$10:$M$20,10,FALSE),($E11*Q$3+$F11*Q$4+$G11*Q$5+$H11*Q$6+$I11*Q$7)*VLOOKUP($B11,UPP!$C$10:$M$20,10,FALSE)),0)</f>
        <v>0</v>
      </c>
      <c r="Q11" s="123">
        <f>+IFERROR(IF(D11=1,($E11*R$3+$F11*R$4+$G11*R$5+$H11*R$6+$I11*R$7)*10*VLOOKUP($B11,UPP!$C$10:$M$20,11,FALSE),($E11*R$3+$F11*R$4+$G11*R$5+$H11*R$6+$I11*R$7)*VLOOKUP($B11,UPP!$C$10:$M$20,11,FALSE)),0)</f>
        <v>0</v>
      </c>
      <c r="R11" s="156">
        <f t="shared" ref="R11:R21" si="1">+O11+P11+Q11</f>
        <v>0</v>
      </c>
      <c r="S11" s="158">
        <f>+MAXA(K11+O11,0)</f>
        <v>0</v>
      </c>
      <c r="T11" s="159">
        <f>+MAXA(L11+P11,0)</f>
        <v>60188.405400000003</v>
      </c>
      <c r="U11" s="159">
        <f>+MAXA(M11+Q11,0)</f>
        <v>0</v>
      </c>
      <c r="V11" s="159">
        <f t="shared" ref="V11:V21" si="2">+N11+R11</f>
        <v>60188.405400000003</v>
      </c>
      <c r="W11" s="161">
        <f>IFERROR(S11/(SUM($E11:$I11)*10),0)</f>
        <v>0</v>
      </c>
      <c r="X11" s="162">
        <f t="shared" ref="X11:Y11" si="3">IFERROR(T11/(SUM($E11:$I11)*10),0)</f>
        <v>33.813710898876408</v>
      </c>
      <c r="Y11" s="163">
        <f t="shared" si="3"/>
        <v>0</v>
      </c>
      <c r="Z11" s="159">
        <f>+$J11*W11*10</f>
        <v>0</v>
      </c>
      <c r="AA11" s="159">
        <f t="shared" ref="AA11:AB11" si="4">+$J11*X11*10</f>
        <v>60188.405400000011</v>
      </c>
      <c r="AB11" s="160">
        <f t="shared" si="4"/>
        <v>0</v>
      </c>
    </row>
    <row r="12" spans="1:28">
      <c r="B12" s="141" t="str">
        <f>+UPP!C11</f>
        <v>6826F</v>
      </c>
      <c r="C12" s="141">
        <f>+UPP!B11</f>
        <v>6</v>
      </c>
      <c r="D12" s="141">
        <f>+UPP!D11</f>
        <v>1</v>
      </c>
      <c r="E12" s="297">
        <f>+_xlfn.XLOOKUP($B12,Data_Payroll!$K$6:$K$44,Data_Payroll!L$6:L$44,0,0)</f>
        <v>29</v>
      </c>
      <c r="F12" s="297">
        <f>+_xlfn.XLOOKUP($B12,Data_Payroll!$K$6:$K$44,Data_Payroll!M$6:M$44,0,0)</f>
        <v>49</v>
      </c>
      <c r="G12" s="297">
        <f>+_xlfn.XLOOKUP($B12,Data_Payroll!$K$6:$K$44,Data_Payroll!N$6:N$44,0,0)</f>
        <v>52</v>
      </c>
      <c r="H12" s="297">
        <f>+_xlfn.XLOOKUP($B12,Data_Payroll!$K$6:$K$44,Data_Payroll!O$6:O$44,0,0)</f>
        <v>40</v>
      </c>
      <c r="I12" s="297">
        <f>+_xlfn.XLOOKUP($B12,Data_Payroll!$K$6:$K$44,Data_Payroll!P$6:P$44,0,0)</f>
        <v>35</v>
      </c>
      <c r="J12" s="152">
        <f t="shared" ref="J12:J21" si="5">+SUM(E12:I12)</f>
        <v>205</v>
      </c>
      <c r="K12" s="123">
        <f>+IFERROR(VLOOKUP($B12,'Translated Loss'!$BI$5:$BL$350,2,FALSE),0)</f>
        <v>0</v>
      </c>
      <c r="L12" s="123">
        <f>+IFERROR(VLOOKUP($B12,'Translated Loss'!$BI$5:$BL$350,3,FALSE),0)</f>
        <v>689432.4584</v>
      </c>
      <c r="M12" s="123">
        <f>+IFERROR(VLOOKUP($B12,'Translated Loss'!$BI$5:$BL$350,4,FALSE),0)</f>
        <v>0</v>
      </c>
      <c r="N12" s="152">
        <f t="shared" si="0"/>
        <v>689432.4584</v>
      </c>
      <c r="O12" s="123">
        <f>+IFERROR(IF(D12=1,($E12*P$3+$F12*P$4+$G12*P$5+$H12*P$6+$I12*P$7)*10*VLOOKUP($B12,UPP!$C$10:$M$20,9,FALSE),($E12*P$3+$F12*P$4+$G12*P$5+$H12*P$6+$I12*P$7)*VLOOKUP($B12,UPP!$C$10:$M$20,9,FALSE)),0)</f>
        <v>0</v>
      </c>
      <c r="P12" s="123">
        <f>+IFERROR(IF(D12=1,($E12*Q$3+$F12*Q$4+$G12*Q$5+$H12*Q$6+$I12*Q$7)*10*VLOOKUP($B12,UPP!$C$10:$M$20,10,FALSE),($E12*Q$3+$F12*Q$4+$G12*Q$5+$H12*Q$6+$I12*Q$7)*VLOOKUP($B12,UPP!$C$10:$M$20,10,FALSE)),0)</f>
        <v>0</v>
      </c>
      <c r="Q12" s="123">
        <f>+IFERROR(IF(D12=1,($E12*R$3+$F12*R$4+$G12*R$5+$H12*R$6+$I12*R$7)*10*VLOOKUP($B12,UPP!$C$10:$M$20,11,FALSE),($E12*R$3+$F12*R$4+$G12*R$5+$H12*R$6+$I12*R$7)*VLOOKUP($B12,UPP!$C$10:$M$20,11,FALSE)),0)</f>
        <v>0</v>
      </c>
      <c r="R12" s="156">
        <f t="shared" si="1"/>
        <v>0</v>
      </c>
      <c r="S12" s="151">
        <f t="shared" ref="S12:S21" si="6">+MAXA(K12+O12,0)</f>
        <v>0</v>
      </c>
      <c r="T12" s="123">
        <f t="shared" ref="T12:T21" si="7">+MAXA(L12+P12,0)</f>
        <v>689432.4584</v>
      </c>
      <c r="U12" s="123">
        <f t="shared" ref="U12:U21" si="8">+MAXA(M12+Q12,0)</f>
        <v>0</v>
      </c>
      <c r="V12" s="123">
        <f t="shared" si="2"/>
        <v>689432.4584</v>
      </c>
      <c r="W12" s="164">
        <f t="shared" ref="W12:W21" si="9">IFERROR(S12/(SUM($E12:$I12)*10),0)</f>
        <v>0</v>
      </c>
      <c r="X12" s="165">
        <f t="shared" ref="X12:X21" si="10">IFERROR(T12/(SUM($E12:$I12)*10),0)</f>
        <v>336.30851629268295</v>
      </c>
      <c r="Y12" s="166">
        <f t="shared" ref="Y12:Y21" si="11">IFERROR(U12/(SUM($E12:$I12)*10),0)</f>
        <v>0</v>
      </c>
      <c r="Z12" s="123">
        <f t="shared" ref="Z12:Z21" si="12">+$J12*W12*10</f>
        <v>0</v>
      </c>
      <c r="AA12" s="123">
        <f t="shared" ref="AA12:AA21" si="13">+$J12*X12*10</f>
        <v>689432.4584</v>
      </c>
      <c r="AB12" s="152">
        <f t="shared" ref="AB12:AB21" si="14">+$J12*Y12*10</f>
        <v>0</v>
      </c>
    </row>
    <row r="13" spans="1:28">
      <c r="B13" s="141" t="str">
        <f>+UPP!C12</f>
        <v>6843F</v>
      </c>
      <c r="C13" s="141">
        <f>+UPP!B12</f>
        <v>6</v>
      </c>
      <c r="D13" s="141">
        <f>+UPP!D12</f>
        <v>1</v>
      </c>
      <c r="E13" s="297">
        <f>+_xlfn.XLOOKUP($B13,Data_Payroll!$K$6:$K$44,Data_Payroll!L$6:L$44,0,0)</f>
        <v>12971</v>
      </c>
      <c r="F13" s="297">
        <f>+_xlfn.XLOOKUP($B13,Data_Payroll!$K$6:$K$44,Data_Payroll!M$6:M$44,0,0)</f>
        <v>22588</v>
      </c>
      <c r="G13" s="297">
        <f>+_xlfn.XLOOKUP($B13,Data_Payroll!$K$6:$K$44,Data_Payroll!N$6:N$44,0,0)</f>
        <v>19849</v>
      </c>
      <c r="H13" s="297">
        <f>+_xlfn.XLOOKUP($B13,Data_Payroll!$K$6:$K$44,Data_Payroll!O$6:O$44,0,0)</f>
        <v>123</v>
      </c>
      <c r="I13" s="297">
        <f>+_xlfn.XLOOKUP($B13,Data_Payroll!$K$6:$K$44,Data_Payroll!P$6:P$44,0,0)</f>
        <v>96</v>
      </c>
      <c r="J13" s="152">
        <f t="shared" si="5"/>
        <v>55627</v>
      </c>
      <c r="K13" s="123">
        <f>+IFERROR(VLOOKUP($B13,'Translated Loss'!$BI$5:$BL$350,2,FALSE),0)</f>
        <v>2818293.4425999997</v>
      </c>
      <c r="L13" s="123">
        <f>+IFERROR(VLOOKUP($B13,'Translated Loss'!$BI$5:$BL$350,3,FALSE),0)</f>
        <v>1283609.4351000001</v>
      </c>
      <c r="M13" s="123">
        <f>+IFERROR(VLOOKUP($B13,'Translated Loss'!$BI$5:$BL$350,4,FALSE),0)</f>
        <v>23864.794000000002</v>
      </c>
      <c r="N13" s="152">
        <f t="shared" si="0"/>
        <v>4125767.6717000003</v>
      </c>
      <c r="O13" s="123">
        <f>+IFERROR(IF(D13=1,($E13*P$3+$F13*P$4+$G13*P$5+$H13*P$6+$I13*P$7)*10*VLOOKUP($B13,UPP!$C$10:$M$20,9,FALSE),($E13*P$3+$F13*P$4+$G13*P$5+$H13*P$6+$I13*P$7)*VLOOKUP($B13,UPP!$C$10:$M$20,9,FALSE)),0)</f>
        <v>0</v>
      </c>
      <c r="P13" s="123">
        <f>+IFERROR(IF(D13=1,($E13*Q$3+$F13*Q$4+$G13*Q$5+$H13*Q$6+$I13*Q$7)*10*VLOOKUP($B13,UPP!$C$10:$M$20,10,FALSE),($E13*Q$3+$F13*Q$4+$G13*Q$5+$H13*Q$6+$I13*Q$7)*VLOOKUP($B13,UPP!$C$10:$M$20,10,FALSE)),0)</f>
        <v>0</v>
      </c>
      <c r="Q13" s="123">
        <f>+IFERROR(IF(D13=1,($E13*R$3+$F13*R$4+$G13*R$5+$H13*R$6+$I13*R$7)*10*VLOOKUP($B13,UPP!$C$10:$M$20,11,FALSE),($E13*R$3+$F13*R$4+$G13*R$5+$H13*R$6+$I13*R$7)*VLOOKUP($B13,UPP!$C$10:$M$20,11,FALSE)),0)</f>
        <v>0</v>
      </c>
      <c r="R13" s="156">
        <f t="shared" si="1"/>
        <v>0</v>
      </c>
      <c r="S13" s="151">
        <f t="shared" si="6"/>
        <v>2818293.4425999997</v>
      </c>
      <c r="T13" s="123">
        <f>+MAXA(L13+P13,0)</f>
        <v>1283609.4351000001</v>
      </c>
      <c r="U13" s="123">
        <f t="shared" si="8"/>
        <v>23864.794000000002</v>
      </c>
      <c r="V13" s="123">
        <f t="shared" si="2"/>
        <v>4125767.6717000003</v>
      </c>
      <c r="W13" s="164">
        <f>IFERROR(S13/(SUM($E13:$I13)*10),0)</f>
        <v>5.0664127898322748</v>
      </c>
      <c r="X13" s="165">
        <f t="shared" si="10"/>
        <v>2.3075295002426883</v>
      </c>
      <c r="Y13" s="166">
        <f t="shared" si="11"/>
        <v>4.2901457925108313E-2</v>
      </c>
      <c r="Z13" s="123">
        <f t="shared" si="12"/>
        <v>2818293.4425999993</v>
      </c>
      <c r="AA13" s="123">
        <f t="shared" si="13"/>
        <v>1283609.4351000004</v>
      </c>
      <c r="AB13" s="152">
        <f t="shared" si="14"/>
        <v>23864.794000000002</v>
      </c>
    </row>
    <row r="14" spans="1:28">
      <c r="B14" s="141" t="str">
        <f>+UPP!C13</f>
        <v>6872F</v>
      </c>
      <c r="C14" s="141">
        <f>+UPP!B13</f>
        <v>6</v>
      </c>
      <c r="D14" s="141">
        <f>+UPP!D13</f>
        <v>1</v>
      </c>
      <c r="E14" s="297">
        <f>+_xlfn.XLOOKUP($B14,Data_Payroll!$K$6:$K$44,Data_Payroll!L$6:L$44,0,0)</f>
        <v>158</v>
      </c>
      <c r="F14" s="297">
        <f>+_xlfn.XLOOKUP($B14,Data_Payroll!$K$6:$K$44,Data_Payroll!M$6:M$44,0,0)</f>
        <v>43</v>
      </c>
      <c r="G14" s="297">
        <f>+_xlfn.XLOOKUP($B14,Data_Payroll!$K$6:$K$44,Data_Payroll!N$6:N$44,0,0)</f>
        <v>271</v>
      </c>
      <c r="H14" s="297">
        <f>+_xlfn.XLOOKUP($B14,Data_Payroll!$K$6:$K$44,Data_Payroll!O$6:O$44,0,0)</f>
        <v>83</v>
      </c>
      <c r="I14" s="297">
        <f>+_xlfn.XLOOKUP($B14,Data_Payroll!$K$6:$K$44,Data_Payroll!P$6:P$44,0,0)</f>
        <v>132</v>
      </c>
      <c r="J14" s="152">
        <f t="shared" si="5"/>
        <v>687</v>
      </c>
      <c r="K14" s="123">
        <f>+IFERROR(VLOOKUP($B14,'Translated Loss'!$BI$5:$BL$350,2,FALSE),0)</f>
        <v>0</v>
      </c>
      <c r="L14" s="123">
        <f>+IFERROR(VLOOKUP($B14,'Translated Loss'!$BI$5:$BL$350,3,FALSE),0)</f>
        <v>30273.237399999998</v>
      </c>
      <c r="M14" s="123">
        <f>+IFERROR(VLOOKUP($B14,'Translated Loss'!$BI$5:$BL$350,4,FALSE),0)</f>
        <v>0</v>
      </c>
      <c r="N14" s="152">
        <f t="shared" si="0"/>
        <v>30273.237399999998</v>
      </c>
      <c r="O14" s="123">
        <f>+IFERROR(IF(D14=1,($E14*P$3+$F14*P$4+$G14*P$5+$H14*P$6+$I14*P$7)*10*VLOOKUP($B14,UPP!$C$10:$M$20,9,FALSE),($E14*P$3+$F14*P$4+$G14*P$5+$H14*P$6+$I14*P$7)*VLOOKUP($B14,UPP!$C$10:$M$20,9,FALSE)),0)</f>
        <v>0</v>
      </c>
      <c r="P14" s="123">
        <f>+IFERROR(IF(D14=1,($E14*Q$3+$F14*Q$4+$G14*Q$5+$H14*Q$6+$I14*Q$7)*10*VLOOKUP($B14,UPP!$C$10:$M$20,10,FALSE),($E14*Q$3+$F14*Q$4+$G14*Q$5+$H14*Q$6+$I14*Q$7)*VLOOKUP($B14,UPP!$C$10:$M$20,10,FALSE)),0)</f>
        <v>0</v>
      </c>
      <c r="Q14" s="123">
        <f>+IFERROR(IF(D14=1,($E14*R$3+$F14*R$4+$G14*R$5+$H14*R$6+$I14*R$7)*10*VLOOKUP($B14,UPP!$C$10:$M$20,11,FALSE),($E14*R$3+$F14*R$4+$G14*R$5+$H14*R$6+$I14*R$7)*VLOOKUP($B14,UPP!$C$10:$M$20,11,FALSE)),0)</f>
        <v>0</v>
      </c>
      <c r="R14" s="156">
        <f t="shared" si="1"/>
        <v>0</v>
      </c>
      <c r="S14" s="151">
        <f t="shared" si="6"/>
        <v>0</v>
      </c>
      <c r="T14" s="123">
        <f t="shared" si="7"/>
        <v>30273.237399999998</v>
      </c>
      <c r="U14" s="123">
        <f t="shared" si="8"/>
        <v>0</v>
      </c>
      <c r="V14" s="123">
        <f t="shared" si="2"/>
        <v>30273.237399999998</v>
      </c>
      <c r="W14" s="164">
        <f t="shared" si="9"/>
        <v>0</v>
      </c>
      <c r="X14" s="165">
        <f t="shared" si="10"/>
        <v>4.4065847743813684</v>
      </c>
      <c r="Y14" s="166">
        <f t="shared" si="11"/>
        <v>0</v>
      </c>
      <c r="Z14" s="123">
        <f t="shared" si="12"/>
        <v>0</v>
      </c>
      <c r="AA14" s="123">
        <f t="shared" si="13"/>
        <v>30273.237400000002</v>
      </c>
      <c r="AB14" s="152">
        <f t="shared" si="14"/>
        <v>0</v>
      </c>
    </row>
    <row r="15" spans="1:28">
      <c r="B15" s="141" t="str">
        <f>+UPP!C14</f>
        <v>7309F</v>
      </c>
      <c r="C15" s="141">
        <f>+UPP!B14</f>
        <v>6</v>
      </c>
      <c r="D15" s="141">
        <f>+UPP!D14</f>
        <v>1</v>
      </c>
      <c r="E15" s="297">
        <f>+_xlfn.XLOOKUP($B15,Data_Payroll!$K$6:$K$44,Data_Payroll!L$6:L$44,0,0)</f>
        <v>8606</v>
      </c>
      <c r="F15" s="297">
        <f>+_xlfn.XLOOKUP($B15,Data_Payroll!$K$6:$K$44,Data_Payroll!M$6:M$44,0,0)</f>
        <v>9158</v>
      </c>
      <c r="G15" s="297">
        <f>+_xlfn.XLOOKUP($B15,Data_Payroll!$K$6:$K$44,Data_Payroll!N$6:N$44,0,0)</f>
        <v>8549</v>
      </c>
      <c r="H15" s="297">
        <f>+_xlfn.XLOOKUP($B15,Data_Payroll!$K$6:$K$44,Data_Payroll!O$6:O$44,0,0)</f>
        <v>8033</v>
      </c>
      <c r="I15" s="297">
        <f>+_xlfn.XLOOKUP($B15,Data_Payroll!$K$6:$K$44,Data_Payroll!P$6:P$44,0,0)</f>
        <v>8679</v>
      </c>
      <c r="J15" s="152">
        <f t="shared" si="5"/>
        <v>43025</v>
      </c>
      <c r="K15" s="123">
        <f>+IFERROR(VLOOKUP($B15,'Translated Loss'!$BI$5:$BL$350,2,FALSE),0)</f>
        <v>3090204.6798</v>
      </c>
      <c r="L15" s="123">
        <f>+IFERROR(VLOOKUP($B15,'Translated Loss'!$BI$5:$BL$350,3,FALSE),0)</f>
        <v>2776060.3740000003</v>
      </c>
      <c r="M15" s="123">
        <f>+IFERROR(VLOOKUP($B15,'Translated Loss'!$BI$5:$BL$350,4,FALSE),0)</f>
        <v>34764.102999999996</v>
      </c>
      <c r="N15" s="152">
        <f t="shared" ref="N15" si="15">+SUM(K15:M15)</f>
        <v>5901029.1568</v>
      </c>
      <c r="O15" s="123">
        <f>+IFERROR(IF(D15=1,($E15*P$3+$F15*P$4+$G15*P$5+$H15*P$6+$I15*P$7)*10*VLOOKUP($B15,UPP!$C$10:$M$20,9,FALSE),($E15*P$3+$F15*P$4+$G15*P$5+$H15*P$6+$I15*P$7)*VLOOKUP($B15,UPP!$C$10:$M$20,9,FALSE)),0)</f>
        <v>0</v>
      </c>
      <c r="P15" s="123">
        <f>+IFERROR(IF(D15=1,($E15*Q$3+$F15*Q$4+$G15*Q$5+$H15*Q$6+$I15*Q$7)*10*VLOOKUP($B15,UPP!$C$10:$M$20,10,FALSE),($E15*Q$3+$F15*Q$4+$G15*Q$5+$H15*Q$6+$I15*Q$7)*VLOOKUP($B15,UPP!$C$10:$M$20,10,FALSE)),0)</f>
        <v>0</v>
      </c>
      <c r="Q15" s="123">
        <f>+IFERROR(IF(D15=1,($E15*R$3+$F15*R$4+$G15*R$5+$H15*R$6+$I15*R$7)*10*VLOOKUP($B15,UPP!$C$10:$M$20,11,FALSE),($E15*R$3+$F15*R$4+$G15*R$5+$H15*R$6+$I15*R$7)*VLOOKUP($B15,UPP!$C$10:$M$20,11,FALSE)),0)</f>
        <v>0</v>
      </c>
      <c r="R15" s="156">
        <f t="shared" si="1"/>
        <v>0</v>
      </c>
      <c r="S15" s="151">
        <f t="shared" si="6"/>
        <v>3090204.6798</v>
      </c>
      <c r="T15" s="123">
        <f t="shared" si="7"/>
        <v>2776060.3740000003</v>
      </c>
      <c r="U15" s="123">
        <f t="shared" si="8"/>
        <v>34764.102999999996</v>
      </c>
      <c r="V15" s="123">
        <f t="shared" si="2"/>
        <v>5901029.1568</v>
      </c>
      <c r="W15" s="164">
        <f t="shared" si="9"/>
        <v>7.1823467281812903</v>
      </c>
      <c r="X15" s="165">
        <f t="shared" si="10"/>
        <v>6.4522030772806511</v>
      </c>
      <c r="Y15" s="166">
        <f t="shared" si="11"/>
        <v>8.0799774549680403E-2</v>
      </c>
      <c r="Z15" s="123">
        <f t="shared" si="12"/>
        <v>3090204.6798</v>
      </c>
      <c r="AA15" s="123">
        <f t="shared" si="13"/>
        <v>2776060.3740000003</v>
      </c>
      <c r="AB15" s="152">
        <f t="shared" si="14"/>
        <v>34764.102999999996</v>
      </c>
    </row>
    <row r="16" spans="1:28">
      <c r="B16" s="141" t="str">
        <f>+UPP!C15</f>
        <v>7313F</v>
      </c>
      <c r="C16" s="141">
        <f>+UPP!B15</f>
        <v>6</v>
      </c>
      <c r="D16" s="141">
        <f>+UPP!D15</f>
        <v>1</v>
      </c>
      <c r="E16" s="297">
        <f>+_xlfn.XLOOKUP($B16,Data_Payroll!$K$6:$K$44,Data_Payroll!L$6:L$44,0,0)</f>
        <v>12614</v>
      </c>
      <c r="F16" s="297">
        <f>+_xlfn.XLOOKUP($B16,Data_Payroll!$K$6:$K$44,Data_Payroll!M$6:M$44,0,0)</f>
        <v>9485</v>
      </c>
      <c r="G16" s="297">
        <f>+_xlfn.XLOOKUP($B16,Data_Payroll!$K$6:$K$44,Data_Payroll!N$6:N$44,0,0)</f>
        <v>14499</v>
      </c>
      <c r="H16" s="297">
        <f>+_xlfn.XLOOKUP($B16,Data_Payroll!$K$6:$K$44,Data_Payroll!O$6:O$44,0,0)</f>
        <v>12228</v>
      </c>
      <c r="I16" s="297">
        <f>+_xlfn.XLOOKUP($B16,Data_Payroll!$K$6:$K$44,Data_Payroll!P$6:P$44,0,0)</f>
        <v>8897</v>
      </c>
      <c r="J16" s="152">
        <f t="shared" si="5"/>
        <v>57723</v>
      </c>
      <c r="K16" s="123">
        <f>+IFERROR(VLOOKUP($B16,'Translated Loss'!$BI$5:$BL$350,2,FALSE),0)</f>
        <v>0</v>
      </c>
      <c r="L16" s="123">
        <f>+IFERROR(VLOOKUP($B16,'Translated Loss'!$BI$5:$BL$350,3,FALSE),0)</f>
        <v>635474.69010000001</v>
      </c>
      <c r="M16" s="123">
        <f>+IFERROR(VLOOKUP($B16,'Translated Loss'!$BI$5:$BL$350,4,FALSE),0)</f>
        <v>28390.318999999996</v>
      </c>
      <c r="N16" s="152">
        <f t="shared" ref="N16:N21" si="16">+SUM(K16:M16)</f>
        <v>663865.00910000002</v>
      </c>
      <c r="O16" s="123">
        <f>+IFERROR(IF(D16=1,($E16*P$3+$F16*P$4+$G16*P$5+$H16*P$6+$I16*P$7)*10*VLOOKUP($B16,UPP!$C$10:$M$20,9,FALSE),($E16*P$3+$F16*P$4+$G16*P$5+$H16*P$6+$I16*P$7)*VLOOKUP($B16,UPP!$C$10:$M$20,9,FALSE)),0)</f>
        <v>0</v>
      </c>
      <c r="P16" s="123">
        <f>+IFERROR(IF(D16=1,($E16*Q$3+$F16*Q$4+$G16*Q$5+$H16*Q$6+$I16*Q$7)*10*VLOOKUP($B16,UPP!$C$10:$M$20,10,FALSE),($E16*Q$3+$F16*Q$4+$G16*Q$5+$H16*Q$6+$I16*Q$7)*VLOOKUP($B16,UPP!$C$10:$M$20,10,FALSE)),0)</f>
        <v>0</v>
      </c>
      <c r="Q16" s="123">
        <f>+IFERROR(IF(D16=1,($E16*R$3+$F16*R$4+$G16*R$5+$H16*R$6+$I16*R$7)*10*VLOOKUP($B16,UPP!$C$10:$M$20,11,FALSE),($E16*R$3+$F16*R$4+$G16*R$5+$H16*R$6+$I16*R$7)*VLOOKUP($B16,UPP!$C$10:$M$20,11,FALSE)),0)</f>
        <v>0</v>
      </c>
      <c r="R16" s="156">
        <f t="shared" si="1"/>
        <v>0</v>
      </c>
      <c r="S16" s="151">
        <f t="shared" si="6"/>
        <v>0</v>
      </c>
      <c r="T16" s="123">
        <f t="shared" si="7"/>
        <v>635474.69010000001</v>
      </c>
      <c r="U16" s="123">
        <f t="shared" si="8"/>
        <v>28390.318999999996</v>
      </c>
      <c r="V16" s="123">
        <f t="shared" si="2"/>
        <v>663865.00910000002</v>
      </c>
      <c r="W16" s="164">
        <f t="shared" si="9"/>
        <v>0</v>
      </c>
      <c r="X16" s="165">
        <f t="shared" si="10"/>
        <v>1.1009037820279612</v>
      </c>
      <c r="Y16" s="166">
        <f t="shared" si="11"/>
        <v>4.9183720527346111E-2</v>
      </c>
      <c r="Z16" s="123">
        <f t="shared" si="12"/>
        <v>0</v>
      </c>
      <c r="AA16" s="123">
        <f t="shared" si="13"/>
        <v>635474.69010000012</v>
      </c>
      <c r="AB16" s="152">
        <f t="shared" si="14"/>
        <v>28390.318999999996</v>
      </c>
    </row>
    <row r="17" spans="2:28">
      <c r="B17" s="141" t="str">
        <f>+UPP!C16</f>
        <v>7317F</v>
      </c>
      <c r="C17" s="141">
        <f>+UPP!B16</f>
        <v>6</v>
      </c>
      <c r="D17" s="141">
        <f>+UPP!D16</f>
        <v>1</v>
      </c>
      <c r="E17" s="297">
        <f>+_xlfn.XLOOKUP($B17,Data_Payroll!$K$6:$K$44,Data_Payroll!L$6:L$44,0,0)</f>
        <v>1592</v>
      </c>
      <c r="F17" s="297">
        <f>+_xlfn.XLOOKUP($B17,Data_Payroll!$K$6:$K$44,Data_Payroll!M$6:M$44,0,0)</f>
        <v>1619</v>
      </c>
      <c r="G17" s="297">
        <f>+_xlfn.XLOOKUP($B17,Data_Payroll!$K$6:$K$44,Data_Payroll!N$6:N$44,0,0)</f>
        <v>1715</v>
      </c>
      <c r="H17" s="297">
        <f>+_xlfn.XLOOKUP($B17,Data_Payroll!$K$6:$K$44,Data_Payroll!O$6:O$44,0,0)</f>
        <v>1749</v>
      </c>
      <c r="I17" s="297">
        <f>+_xlfn.XLOOKUP($B17,Data_Payroll!$K$6:$K$44,Data_Payroll!P$6:P$44,0,0)</f>
        <v>2093</v>
      </c>
      <c r="J17" s="152">
        <f t="shared" si="5"/>
        <v>8768</v>
      </c>
      <c r="K17" s="123">
        <f>+IFERROR(VLOOKUP($B17,'Translated Loss'!$BI$5:$BL$350,2,FALSE),0)</f>
        <v>0</v>
      </c>
      <c r="L17" s="123">
        <f>+IFERROR(VLOOKUP($B17,'Translated Loss'!$BI$5:$BL$350,3,FALSE),0)</f>
        <v>145011.05439999999</v>
      </c>
      <c r="M17" s="123">
        <f>+IFERROR(VLOOKUP($B17,'Translated Loss'!$BI$5:$BL$350,4,FALSE),0)</f>
        <v>6735.826</v>
      </c>
      <c r="N17" s="152">
        <f t="shared" si="16"/>
        <v>151746.88039999999</v>
      </c>
      <c r="O17" s="123">
        <f>+IFERROR(IF(D17=1,($E17*P$3+$F17*P$4+$G17*P$5+$H17*P$6+$I17*P$7)*10*VLOOKUP($B17,UPP!$C$10:$M$20,9,FALSE),($E17*P$3+$F17*P$4+$G17*P$5+$H17*P$6+$I17*P$7)*VLOOKUP($B17,UPP!$C$10:$M$20,9,FALSE)),0)</f>
        <v>0</v>
      </c>
      <c r="P17" s="123">
        <f>+IFERROR(IF(D17=1,($E17*Q$3+$F17*Q$4+$G17*Q$5+$H17*Q$6+$I17*Q$7)*10*VLOOKUP($B17,UPP!$C$10:$M$20,10,FALSE),($E17*Q$3+$F17*Q$4+$G17*Q$5+$H17*Q$6+$I17*Q$7)*VLOOKUP($B17,UPP!$C$10:$M$20,10,FALSE)),0)</f>
        <v>0</v>
      </c>
      <c r="Q17" s="123">
        <f>+IFERROR(IF(D17=1,($E17*R$3+$F17*R$4+$G17*R$5+$H17*R$6+$I17*R$7)*10*VLOOKUP($B17,UPP!$C$10:$M$20,11,FALSE),($E17*R$3+$F17*R$4+$G17*R$5+$H17*R$6+$I17*R$7)*VLOOKUP($B17,UPP!$C$10:$M$20,11,FALSE)),0)</f>
        <v>0</v>
      </c>
      <c r="R17" s="156">
        <f t="shared" si="1"/>
        <v>0</v>
      </c>
      <c r="S17" s="151">
        <f t="shared" si="6"/>
        <v>0</v>
      </c>
      <c r="T17" s="123">
        <f t="shared" si="7"/>
        <v>145011.05439999999</v>
      </c>
      <c r="U17" s="123">
        <f t="shared" si="8"/>
        <v>6735.826</v>
      </c>
      <c r="V17" s="123">
        <f t="shared" si="2"/>
        <v>151746.88039999999</v>
      </c>
      <c r="W17" s="164">
        <f t="shared" si="9"/>
        <v>0</v>
      </c>
      <c r="X17" s="165">
        <f t="shared" si="10"/>
        <v>1.6538669525547445</v>
      </c>
      <c r="Y17" s="166">
        <f t="shared" si="11"/>
        <v>7.6822833029197082E-2</v>
      </c>
      <c r="Z17" s="123">
        <f t="shared" si="12"/>
        <v>0</v>
      </c>
      <c r="AA17" s="123">
        <f t="shared" si="13"/>
        <v>145011.05439999999</v>
      </c>
      <c r="AB17" s="152">
        <f t="shared" si="14"/>
        <v>6735.8260000000009</v>
      </c>
    </row>
    <row r="18" spans="2:28">
      <c r="B18" s="141" t="str">
        <f>+UPP!C17</f>
        <v>7327F</v>
      </c>
      <c r="C18" s="141">
        <f>+UPP!B17</f>
        <v>6</v>
      </c>
      <c r="D18" s="141">
        <f>+UPP!D17</f>
        <v>1</v>
      </c>
      <c r="E18" s="297">
        <f>+_xlfn.XLOOKUP($B18,Data_Payroll!$K$6:$K$44,Data_Payroll!L$6:L$44,0,0)</f>
        <v>7017</v>
      </c>
      <c r="F18" s="297">
        <f>+_xlfn.XLOOKUP($B18,Data_Payroll!$K$6:$K$44,Data_Payroll!M$6:M$44,0,0)</f>
        <v>7370</v>
      </c>
      <c r="G18" s="297">
        <f>+_xlfn.XLOOKUP($B18,Data_Payroll!$K$6:$K$44,Data_Payroll!N$6:N$44,0,0)</f>
        <v>9757</v>
      </c>
      <c r="H18" s="297">
        <f>+_xlfn.XLOOKUP($B18,Data_Payroll!$K$6:$K$44,Data_Payroll!O$6:O$44,0,0)</f>
        <v>9255</v>
      </c>
      <c r="I18" s="297">
        <f>+_xlfn.XLOOKUP($B18,Data_Payroll!$K$6:$K$44,Data_Payroll!P$6:P$44,0,0)</f>
        <v>10253</v>
      </c>
      <c r="J18" s="152">
        <f t="shared" si="5"/>
        <v>43652</v>
      </c>
      <c r="K18" s="123">
        <f>+IFERROR(VLOOKUP($B18,'Translated Loss'!$BI$5:$BL$350,2,FALSE),0)</f>
        <v>1351792.9666000002</v>
      </c>
      <c r="L18" s="123">
        <f>+IFERROR(VLOOKUP($B18,'Translated Loss'!$BI$5:$BL$350,3,FALSE),0)</f>
        <v>3634004.1530999998</v>
      </c>
      <c r="M18" s="123">
        <f>+IFERROR(VLOOKUP($B18,'Translated Loss'!$BI$5:$BL$350,4,FALSE),0)</f>
        <v>65039.577000000012</v>
      </c>
      <c r="N18" s="152">
        <f t="shared" si="16"/>
        <v>5050836.6966999993</v>
      </c>
      <c r="O18" s="123">
        <f>+IFERROR(IF(D18=1,($E18*P$3+$F18*P$4+$G18*P$5+$H18*P$6+$I18*P$7)*10*VLOOKUP($B18,UPP!$C$10:$M$20,9,FALSE),($E18*P$3+$F18*P$4+$G18*P$5+$H18*P$6+$I18*P$7)*VLOOKUP($B18,UPP!$C$10:$M$20,9,FALSE)),0)</f>
        <v>0</v>
      </c>
      <c r="P18" s="123">
        <f>+IFERROR(IF(D18=1,($E18*Q$3+$F18*Q$4+$G18*Q$5+$H18*Q$6+$I18*Q$7)*10*VLOOKUP($B18,UPP!$C$10:$M$20,10,FALSE),($E18*Q$3+$F18*Q$4+$G18*Q$5+$H18*Q$6+$I18*Q$7)*VLOOKUP($B18,UPP!$C$10:$M$20,10,FALSE)),0)</f>
        <v>0</v>
      </c>
      <c r="Q18" s="123">
        <f>+IFERROR(IF(D18=1,($E18*R$3+$F18*R$4+$G18*R$5+$H18*R$6+$I18*R$7)*10*VLOOKUP($B18,UPP!$C$10:$M$20,11,FALSE),($E18*R$3+$F18*R$4+$G18*R$5+$H18*R$6+$I18*R$7)*VLOOKUP($B18,UPP!$C$10:$M$20,11,FALSE)),0)</f>
        <v>0</v>
      </c>
      <c r="R18" s="156">
        <f t="shared" si="1"/>
        <v>0</v>
      </c>
      <c r="S18" s="151">
        <f t="shared" si="6"/>
        <v>1351792.9666000002</v>
      </c>
      <c r="T18" s="123">
        <f t="shared" si="7"/>
        <v>3634004.1530999998</v>
      </c>
      <c r="U18" s="123">
        <f t="shared" si="8"/>
        <v>65039.577000000012</v>
      </c>
      <c r="V18" s="123">
        <f t="shared" si="2"/>
        <v>5050836.6966999993</v>
      </c>
      <c r="W18" s="164">
        <f t="shared" si="9"/>
        <v>3.0967492133235592</v>
      </c>
      <c r="X18" s="165">
        <f t="shared" si="10"/>
        <v>8.3249430795839814</v>
      </c>
      <c r="Y18" s="166">
        <f t="shared" si="11"/>
        <v>0.1489956405204802</v>
      </c>
      <c r="Z18" s="123">
        <f t="shared" si="12"/>
        <v>1351792.9666000002</v>
      </c>
      <c r="AA18" s="123">
        <f t="shared" si="13"/>
        <v>3634004.1530999998</v>
      </c>
      <c r="AB18" s="152">
        <f t="shared" si="14"/>
        <v>65039.577000000019</v>
      </c>
    </row>
    <row r="19" spans="2:28">
      <c r="B19" s="141" t="str">
        <f>+UPP!C18</f>
        <v>7366F</v>
      </c>
      <c r="C19" s="141">
        <f>+UPP!B18</f>
        <v>6</v>
      </c>
      <c r="D19" s="141">
        <f>+UPP!D18</f>
        <v>1</v>
      </c>
      <c r="E19" s="297">
        <f>+_xlfn.XLOOKUP($B19,Data_Payroll!$K$6:$K$44,Data_Payroll!L$6:L$44,0,0)</f>
        <v>18115</v>
      </c>
      <c r="F19" s="297">
        <f>+_xlfn.XLOOKUP($B19,Data_Payroll!$K$6:$K$44,Data_Payroll!M$6:M$44,0,0)</f>
        <v>19617</v>
      </c>
      <c r="G19" s="297">
        <f>+_xlfn.XLOOKUP($B19,Data_Payroll!$K$6:$K$44,Data_Payroll!N$6:N$44,0,0)</f>
        <v>21555</v>
      </c>
      <c r="H19" s="297">
        <f>+_xlfn.XLOOKUP($B19,Data_Payroll!$K$6:$K$44,Data_Payroll!O$6:O$44,0,0)</f>
        <v>26692</v>
      </c>
      <c r="I19" s="297">
        <f>+_xlfn.XLOOKUP($B19,Data_Payroll!$K$6:$K$44,Data_Payroll!P$6:P$44,0,0)</f>
        <v>23060</v>
      </c>
      <c r="J19" s="152">
        <f t="shared" ref="J19" si="17">+SUM(E19:I19)</f>
        <v>109039</v>
      </c>
      <c r="K19" s="123">
        <f>+IFERROR(VLOOKUP($B19,'Translated Loss'!$BI$5:$BL$350,2,FALSE),0)</f>
        <v>1984726.2708000001</v>
      </c>
      <c r="L19" s="123">
        <f>+IFERROR(VLOOKUP($B19,'Translated Loss'!$BI$5:$BL$350,3,FALSE),0)</f>
        <v>2294400.4209000003</v>
      </c>
      <c r="M19" s="123">
        <f>+IFERROR(VLOOKUP($B19,'Translated Loss'!$BI$5:$BL$350,4,FALSE),0)</f>
        <v>87278.641000000003</v>
      </c>
      <c r="N19" s="152">
        <f t="shared" ref="N19" si="18">+SUM(K19:M19)</f>
        <v>4366405.3327000001</v>
      </c>
      <c r="O19" s="123">
        <f>+IFERROR(IF(D19=1,($E19*P$3+$F19*P$4+$G19*P$5+$H19*P$6+$I19*P$7)*10*VLOOKUP($B19,UPP!$C$10:$M$20,9,FALSE),($E19*P$3+$F19*P$4+$G19*P$5+$H19*P$6+$I19*P$7)*VLOOKUP($B19,UPP!$C$10:$M$20,9,FALSE)),0)</f>
        <v>0</v>
      </c>
      <c r="P19" s="123">
        <f>+IFERROR(IF(D19=1,($E19*Q$3+$F19*Q$4+$G19*Q$5+$H19*Q$6+$I19*Q$7)*10*VLOOKUP($B19,UPP!$C$10:$M$20,10,FALSE),($E19*Q$3+$F19*Q$4+$G19*Q$5+$H19*Q$6+$I19*Q$7)*VLOOKUP($B19,UPP!$C$10:$M$20,10,FALSE)),0)</f>
        <v>0</v>
      </c>
      <c r="Q19" s="123">
        <f>+IFERROR(IF(D19=1,($E19*R$3+$F19*R$4+$G19*R$5+$H19*R$6+$I19*R$7)*10*VLOOKUP($B19,UPP!$C$10:$M$20,11,FALSE),($E19*R$3+$F19*R$4+$G19*R$5+$H19*R$6+$I19*R$7)*VLOOKUP($B19,UPP!$C$10:$M$20,11,FALSE)),0)</f>
        <v>0</v>
      </c>
      <c r="R19" s="156">
        <f t="shared" ref="R19" si="19">+O19+P19+Q19</f>
        <v>0</v>
      </c>
      <c r="S19" s="151">
        <f t="shared" ref="S19" si="20">+MAXA(K19+O19,0)</f>
        <v>1984726.2708000001</v>
      </c>
      <c r="T19" s="123">
        <f t="shared" ref="T19" si="21">+MAXA(L19+P19,0)</f>
        <v>2294400.4209000003</v>
      </c>
      <c r="U19" s="123">
        <f t="shared" ref="U19" si="22">+MAXA(M19+Q19,0)</f>
        <v>87278.641000000003</v>
      </c>
      <c r="V19" s="123">
        <f t="shared" ref="V19" si="23">+N19+R19</f>
        <v>4366405.3327000001</v>
      </c>
      <c r="W19" s="164">
        <f t="shared" si="9"/>
        <v>1.8201985260319702</v>
      </c>
      <c r="X19" s="165">
        <f t="shared" si="10"/>
        <v>2.1042016351030366</v>
      </c>
      <c r="Y19" s="166">
        <f t="shared" si="11"/>
        <v>8.0043508286026105E-2</v>
      </c>
      <c r="Z19" s="123">
        <f t="shared" ref="Z19" si="24">+$J19*W19*10</f>
        <v>1984726.2708000001</v>
      </c>
      <c r="AA19" s="123">
        <f t="shared" ref="AA19" si="25">+$J19*X19*10</f>
        <v>2294400.4209000003</v>
      </c>
      <c r="AB19" s="152">
        <f t="shared" ref="AB19" si="26">+$J19*Y19*10</f>
        <v>87278.641000000003</v>
      </c>
    </row>
    <row r="20" spans="2:28">
      <c r="B20" s="141" t="str">
        <f>+UPP!C19</f>
        <v>8709F</v>
      </c>
      <c r="C20" s="141">
        <f>+UPP!B19</f>
        <v>6</v>
      </c>
      <c r="D20" s="141">
        <f>+UPP!D19</f>
        <v>1</v>
      </c>
      <c r="E20" s="297">
        <f>+_xlfn.XLOOKUP($B20,Data_Payroll!$K$6:$K$44,Data_Payroll!L$6:L$44,0,0)</f>
        <v>4691</v>
      </c>
      <c r="F20" s="297">
        <f>+_xlfn.XLOOKUP($B20,Data_Payroll!$K$6:$K$44,Data_Payroll!M$6:M$44,0,0)</f>
        <v>3697</v>
      </c>
      <c r="G20" s="297">
        <f>+_xlfn.XLOOKUP($B20,Data_Payroll!$K$6:$K$44,Data_Payroll!N$6:N$44,0,0)</f>
        <v>4149</v>
      </c>
      <c r="H20" s="297">
        <f>+_xlfn.XLOOKUP($B20,Data_Payroll!$K$6:$K$44,Data_Payroll!O$6:O$44,0,0)</f>
        <v>5890</v>
      </c>
      <c r="I20" s="297">
        <f>+_xlfn.XLOOKUP($B20,Data_Payroll!$K$6:$K$44,Data_Payroll!P$6:P$44,0,0)</f>
        <v>5072</v>
      </c>
      <c r="J20" s="152">
        <f t="shared" si="5"/>
        <v>23499</v>
      </c>
      <c r="K20" s="123">
        <f>+IFERROR(VLOOKUP($B20,'Translated Loss'!$BI$5:$BL$350,2,FALSE),0)</f>
        <v>1198780.9068</v>
      </c>
      <c r="L20" s="123">
        <f>+IFERROR(VLOOKUP($B20,'Translated Loss'!$BI$5:$BL$350,3,FALSE),0)</f>
        <v>369049.93210000003</v>
      </c>
      <c r="M20" s="123">
        <f>+IFERROR(VLOOKUP($B20,'Translated Loss'!$BI$5:$BL$350,4,FALSE),0)</f>
        <v>25161.919000000002</v>
      </c>
      <c r="N20" s="152">
        <f t="shared" si="16"/>
        <v>1592992.7579000001</v>
      </c>
      <c r="O20" s="123">
        <f>+IFERROR(IF(D20=1,($E20*P$3+$F20*P$4+$G20*P$5+$H20*P$6+$I20*P$7)*10*VLOOKUP($B20,UPP!$C$10:$M$20,9,FALSE),($E20*P$3+$F20*P$4+$G20*P$5+$H20*P$6+$I20*P$7)*VLOOKUP($B20,UPP!$C$10:$M$20,9,FALSE)),0)</f>
        <v>0</v>
      </c>
      <c r="P20" s="123">
        <f>+IFERROR(IF(D20=1,($E20*Q$3+$F20*Q$4+$G20*Q$5+$H20*Q$6+$I20*Q$7)*10*VLOOKUP($B20,UPP!$C$10:$M$20,10,FALSE),($E20*Q$3+$F20*Q$4+$G20*Q$5+$H20*Q$6+$I20*Q$7)*VLOOKUP($B20,UPP!$C$10:$M$20,10,FALSE)),0)</f>
        <v>0</v>
      </c>
      <c r="Q20" s="123">
        <f>+IFERROR(IF(D20=1,($E20*R$3+$F20*R$4+$G20*R$5+$H20*R$6+$I20*R$7)*10*VLOOKUP($B20,UPP!$C$10:$M$20,11,FALSE),($E20*R$3+$F20*R$4+$G20*R$5+$H20*R$6+$I20*R$7)*VLOOKUP($B20,UPP!$C$10:$M$20,11,FALSE)),0)</f>
        <v>0</v>
      </c>
      <c r="R20" s="156">
        <f t="shared" si="1"/>
        <v>0</v>
      </c>
      <c r="S20" s="151">
        <f t="shared" si="6"/>
        <v>1198780.9068</v>
      </c>
      <c r="T20" s="123">
        <f t="shared" si="7"/>
        <v>369049.93210000003</v>
      </c>
      <c r="U20" s="123">
        <f t="shared" si="8"/>
        <v>25161.919000000002</v>
      </c>
      <c r="V20" s="123">
        <f t="shared" si="2"/>
        <v>1592992.7579000001</v>
      </c>
      <c r="W20" s="164">
        <f t="shared" si="9"/>
        <v>5.1014124294650838</v>
      </c>
      <c r="X20" s="165">
        <f t="shared" si="10"/>
        <v>1.5704920724286142</v>
      </c>
      <c r="Y20" s="166">
        <f t="shared" si="11"/>
        <v>0.10707655219371037</v>
      </c>
      <c r="Z20" s="123">
        <f t="shared" si="12"/>
        <v>1198780.9068</v>
      </c>
      <c r="AA20" s="123">
        <f>+$J20*X20*10</f>
        <v>369049.93210000009</v>
      </c>
      <c r="AB20" s="152">
        <f t="shared" si="14"/>
        <v>25161.919000000002</v>
      </c>
    </row>
    <row r="21" spans="2:28">
      <c r="B21" s="141" t="str">
        <f>+UPP!C20</f>
        <v>8726F</v>
      </c>
      <c r="C21" s="141">
        <f>+UPP!B20</f>
        <v>6</v>
      </c>
      <c r="D21" s="141">
        <f>+UPP!D20</f>
        <v>1</v>
      </c>
      <c r="E21" s="297">
        <f>+_xlfn.XLOOKUP($B21,Data_Payroll!$K$6:$K$44,Data_Payroll!L$6:L$44,0,0)</f>
        <v>370</v>
      </c>
      <c r="F21" s="297">
        <f>+_xlfn.XLOOKUP($B21,Data_Payroll!$K$6:$K$44,Data_Payroll!M$6:M$44,0,0)</f>
        <v>403</v>
      </c>
      <c r="G21" s="297">
        <f>+_xlfn.XLOOKUP($B21,Data_Payroll!$K$6:$K$44,Data_Payroll!N$6:N$44,0,0)</f>
        <v>228</v>
      </c>
      <c r="H21" s="297">
        <f>+_xlfn.XLOOKUP($B21,Data_Payroll!$K$6:$K$44,Data_Payroll!O$6:O$44,0,0)</f>
        <v>90</v>
      </c>
      <c r="I21" s="297">
        <f>+_xlfn.XLOOKUP($B21,Data_Payroll!$K$6:$K$44,Data_Payroll!P$6:P$44,0,0)</f>
        <v>38</v>
      </c>
      <c r="J21" s="152">
        <f t="shared" si="5"/>
        <v>1129</v>
      </c>
      <c r="K21" s="123">
        <f>+IFERROR(VLOOKUP($B21,'Translated Loss'!$BI$5:$BL$350,2,FALSE),0)</f>
        <v>0</v>
      </c>
      <c r="L21" s="123">
        <f>+IFERROR(VLOOKUP($B21,'Translated Loss'!$BI$5:$BL$350,3,FALSE),0)</f>
        <v>0</v>
      </c>
      <c r="M21" s="123">
        <f>+IFERROR(VLOOKUP($B21,'Translated Loss'!$BI$5:$BL$350,4,FALSE),0)</f>
        <v>0</v>
      </c>
      <c r="N21" s="152">
        <f t="shared" si="16"/>
        <v>0</v>
      </c>
      <c r="O21" s="123">
        <f>+IFERROR(IF(D21=1,($E21*P$3+$F21*P$4+$G21*P$5+$H21*P$6+$I21*P$7)*10*VLOOKUP($B21,UPP!$C$10:$M$20,9,FALSE),($E21*P$3+$F21*P$4+$G21*P$5+$H21*P$6+$I21*P$7)*VLOOKUP($B21,UPP!$C$10:$M$20,9,FALSE)),0)</f>
        <v>0</v>
      </c>
      <c r="P21" s="123">
        <f>+IFERROR(IF(D21=1,($E21*Q$3+$F21*Q$4+$G21*Q$5+$H21*Q$6+$I21*Q$7)*10*VLOOKUP($B21,UPP!$C$10:$M$20,10,FALSE),($E21*Q$3+$F21*Q$4+$G21*Q$5+$H21*Q$6+$I21*Q$7)*VLOOKUP($B21,UPP!$C$10:$M$20,10,FALSE)),0)</f>
        <v>0</v>
      </c>
      <c r="Q21" s="123">
        <f>+IFERROR(IF(D21=1,($E21*R$3+$F21*R$4+$G21*R$5+$H21*R$6+$I21*R$7)*10*VLOOKUP($B21,UPP!$C$10:$M$20,11,FALSE),($E21*R$3+$F21*R$4+$G21*R$5+$H21*R$6+$I21*R$7)*VLOOKUP($B21,UPP!$C$10:$M$20,11,FALSE)),0)</f>
        <v>0</v>
      </c>
      <c r="R21" s="156">
        <f t="shared" si="1"/>
        <v>0</v>
      </c>
      <c r="S21" s="151">
        <f t="shared" si="6"/>
        <v>0</v>
      </c>
      <c r="T21" s="123">
        <f t="shared" si="7"/>
        <v>0</v>
      </c>
      <c r="U21" s="123">
        <f t="shared" si="8"/>
        <v>0</v>
      </c>
      <c r="V21" s="123">
        <f t="shared" si="2"/>
        <v>0</v>
      </c>
      <c r="W21" s="164">
        <f t="shared" si="9"/>
        <v>0</v>
      </c>
      <c r="X21" s="165">
        <f t="shared" si="10"/>
        <v>0</v>
      </c>
      <c r="Y21" s="166">
        <f t="shared" si="11"/>
        <v>0</v>
      </c>
      <c r="Z21" s="123">
        <f t="shared" si="12"/>
        <v>0</v>
      </c>
      <c r="AA21" s="123">
        <f t="shared" si="13"/>
        <v>0</v>
      </c>
      <c r="AB21" s="152">
        <f t="shared" si="14"/>
        <v>0</v>
      </c>
    </row>
  </sheetData>
  <sortState xmlns:xlrd2="http://schemas.microsoft.com/office/spreadsheetml/2017/richdata2" ref="B11:R21">
    <sortCondition ref="B11:B21"/>
  </sortState>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0118151-F865-4446-A88C-37A1E936E817}">
  <sheetPr codeName="Sheet2">
    <tabColor rgb="FFFF0000"/>
  </sheetPr>
  <dimension ref="A1:EU108"/>
  <sheetViews>
    <sheetView view="pageBreakPreview" topLeftCell="I1" zoomScale="77" zoomScaleNormal="90" zoomScaleSheetLayoutView="77" workbookViewId="0">
      <selection activeCell="M34" sqref="M34"/>
    </sheetView>
  </sheetViews>
  <sheetFormatPr defaultColWidth="9.296875" defaultRowHeight="11.15"/>
  <cols>
    <col min="1" max="1" width="11.296875" customWidth="1"/>
    <col min="2" max="2" width="15" customWidth="1"/>
    <col min="3" max="3" width="14.5" customWidth="1"/>
    <col min="4" max="4" width="16.5" customWidth="1"/>
    <col min="5" max="5" width="2" customWidth="1"/>
    <col min="6" max="6" width="15.69921875" customWidth="1"/>
    <col min="7" max="7" width="18.296875" customWidth="1"/>
    <col min="8" max="8" width="15.19921875" customWidth="1"/>
    <col min="9" max="9" width="17.5" bestFit="1" customWidth="1"/>
    <col min="10" max="12" width="11.296875" customWidth="1"/>
    <col min="13" max="25" width="0" hidden="1" customWidth="1"/>
    <col min="26" max="26" width="14.19921875" customWidth="1"/>
    <col min="27" max="27" width="18.19921875" customWidth="1"/>
    <col min="28" max="28" width="23.19921875" customWidth="1"/>
    <col min="29" max="29" width="11.796875" customWidth="1"/>
    <col min="30" max="30" width="22" customWidth="1"/>
    <col min="31" max="31" width="14.19921875" customWidth="1"/>
    <col min="32" max="34" width="11.296875" customWidth="1"/>
    <col min="35" max="35" width="6.796875" customWidth="1"/>
    <col min="36" max="38" width="14.796875" customWidth="1"/>
    <col min="39" max="39" width="4.296875" customWidth="1"/>
    <col min="40" max="42" width="13.69921875" customWidth="1"/>
    <col min="43" max="43" width="18.296875" customWidth="1"/>
    <col min="44" max="46" width="11.296875" customWidth="1"/>
    <col min="47" max="47" width="7.796875" customWidth="1"/>
    <col min="48" max="48" width="13.69921875" customWidth="1"/>
    <col min="49" max="49" width="14.796875" customWidth="1"/>
    <col min="50" max="50" width="12.5" customWidth="1"/>
    <col min="51" max="53" width="14.796875" customWidth="1"/>
    <col min="54" max="54" width="13.69921875" customWidth="1"/>
    <col min="55" max="57" width="11.296875" customWidth="1"/>
    <col min="58" max="58" width="2" customWidth="1"/>
    <col min="59" max="59" width="11.296875" customWidth="1"/>
    <col min="60" max="60" width="18.296875" customWidth="1"/>
    <col min="61" max="61" width="20.69921875" customWidth="1"/>
    <col min="62" max="65" width="18.296875" customWidth="1"/>
    <col min="66" max="66" width="7.796875" customWidth="1"/>
    <col min="67" max="67" width="12.5" customWidth="1"/>
    <col min="68" max="70" width="11.296875" customWidth="1"/>
    <col min="71" max="71" width="6.69921875" customWidth="1"/>
    <col min="73" max="73" width="7.5" customWidth="1"/>
    <col min="74" max="74" width="15.19921875" customWidth="1"/>
    <col min="75" max="75" width="11.296875" customWidth="1"/>
    <col min="76" max="76" width="15.19921875" customWidth="1"/>
    <col min="77" max="77" width="11.296875"/>
    <col min="78" max="78" width="15.19921875" customWidth="1"/>
    <col min="79" max="79" width="11.296875"/>
    <col min="80" max="82" width="11.296875" customWidth="1"/>
    <col min="83" max="83" width="11.296875"/>
    <col min="84" max="84" width="12.5" customWidth="1"/>
    <col min="85" max="85" width="7.69921875" customWidth="1"/>
    <col min="86" max="86" width="19.5" customWidth="1"/>
    <col min="87" max="87" width="9" customWidth="1"/>
    <col min="88" max="88" width="11.296875" customWidth="1"/>
    <col min="89" max="89" width="12.5" customWidth="1"/>
    <col min="90" max="90" width="11.296875"/>
    <col min="91" max="96" width="11.296875" customWidth="1"/>
    <col min="97" max="97" width="13.69921875" customWidth="1"/>
    <col min="98" max="98" width="2" customWidth="1"/>
    <col min="99" max="99" width="4.296875" customWidth="1"/>
    <col min="100" max="100" width="9" customWidth="1"/>
    <col min="101" max="101" width="3.19921875" customWidth="1"/>
    <col min="102" max="102" width="9" customWidth="1"/>
    <col min="103" max="103" width="3.296875" customWidth="1"/>
    <col min="104" max="104" width="11.296875" customWidth="1"/>
    <col min="105" max="105" width="4.69921875" customWidth="1"/>
    <col min="106" max="108" width="11.296875" customWidth="1"/>
    <col min="109" max="109" width="12.5" customWidth="1"/>
    <col min="110" max="111" width="11.296875"/>
    <col min="112" max="112" width="13.69921875" customWidth="1"/>
    <col min="113" max="114" width="11.296875" customWidth="1"/>
    <col min="115" max="117" width="11.296875"/>
    <col min="118" max="119" width="11.296875" customWidth="1"/>
    <col min="120" max="120" width="4.296875" customWidth="1"/>
    <col min="121" max="121" width="8" customWidth="1"/>
    <col min="122" max="123" width="11.296875"/>
    <col min="124" max="124" width="12.5" customWidth="1"/>
    <col min="125" max="125" width="4.296875" customWidth="1"/>
    <col min="126" max="126" width="12.19921875" customWidth="1"/>
    <col min="127" max="127" width="13.69921875" customWidth="1"/>
    <col min="128" max="128" width="4.296875" customWidth="1"/>
    <col min="129" max="129" width="11.296875"/>
    <col min="130" max="130" width="17.19921875" customWidth="1"/>
    <col min="131" max="134" width="11.296875"/>
    <col min="135" max="135" width="9" customWidth="1"/>
    <col min="136" max="136" width="11.296875"/>
    <col min="137" max="137" width="7.796875" customWidth="1"/>
    <col min="138" max="138" width="13.69921875" customWidth="1"/>
    <col min="139" max="139" width="16" customWidth="1"/>
    <col min="140" max="140" width="12.5" customWidth="1"/>
    <col min="141" max="141" width="7.796875" customWidth="1"/>
    <col min="142" max="146" width="11.296875"/>
    <col min="147" max="147" width="12.5" bestFit="1" customWidth="1"/>
    <col min="148" max="148" width="11.296875"/>
    <col min="149" max="149" width="12.5" bestFit="1" customWidth="1"/>
  </cols>
  <sheetData>
    <row r="1" spans="1:151" ht="12.9">
      <c r="A1" s="588" t="s">
        <v>538</v>
      </c>
      <c r="B1" s="193"/>
      <c r="C1" s="193"/>
      <c r="D1" s="193"/>
      <c r="E1" s="193"/>
      <c r="F1" s="193"/>
      <c r="G1" s="193"/>
      <c r="H1" s="589" t="s">
        <v>539</v>
      </c>
      <c r="I1" s="193"/>
      <c r="J1" s="193"/>
      <c r="K1" s="193"/>
      <c r="L1" s="193"/>
      <c r="M1" s="590" t="s">
        <v>340</v>
      </c>
      <c r="N1" s="193"/>
      <c r="O1" s="193"/>
      <c r="P1" s="193"/>
      <c r="Q1" s="193"/>
      <c r="R1" s="193"/>
      <c r="S1" s="193"/>
      <c r="T1" s="193"/>
      <c r="U1" s="591" t="str">
        <f>H1</f>
        <v>PA 2023 F CLASS R/R</v>
      </c>
      <c r="V1" s="193"/>
      <c r="W1" s="193"/>
      <c r="X1" s="193"/>
      <c r="Y1" s="193"/>
      <c r="Z1" s="592" t="s">
        <v>540</v>
      </c>
      <c r="AA1" s="193"/>
      <c r="AB1" s="193"/>
      <c r="AC1" s="193"/>
      <c r="AD1" s="193"/>
      <c r="AE1" s="591" t="str">
        <f>H1</f>
        <v>PA 2023 F CLASS R/R</v>
      </c>
      <c r="AF1" s="193"/>
      <c r="AG1" s="536"/>
      <c r="AH1" s="193"/>
      <c r="AI1" s="590" t="s">
        <v>542</v>
      </c>
      <c r="AJ1" s="193"/>
      <c r="AK1" s="193"/>
      <c r="AL1" s="193"/>
      <c r="AM1" s="193"/>
      <c r="AN1" s="193"/>
      <c r="AO1" s="193"/>
      <c r="AP1" s="193"/>
      <c r="AQ1" s="591" t="str">
        <f>H1</f>
        <v>PA 2023 F CLASS R/R</v>
      </c>
      <c r="AR1" s="193"/>
      <c r="AS1" s="193"/>
      <c r="AT1" s="193"/>
      <c r="AU1" s="590" t="s">
        <v>544</v>
      </c>
      <c r="AV1" s="193"/>
      <c r="AW1" s="193"/>
      <c r="AX1" s="193"/>
      <c r="AY1" s="193"/>
      <c r="AZ1" s="193"/>
      <c r="BA1" s="193"/>
      <c r="BB1" s="591" t="str">
        <f>H1</f>
        <v>PA 2023 F CLASS R/R</v>
      </c>
      <c r="BC1" s="193"/>
      <c r="BD1" s="193"/>
      <c r="BE1" s="193"/>
      <c r="BF1" s="193"/>
      <c r="BG1" s="590" t="s">
        <v>546</v>
      </c>
      <c r="BH1" s="193"/>
      <c r="BI1" s="193"/>
      <c r="BJ1" s="193"/>
      <c r="BK1" s="193"/>
      <c r="BL1" s="193"/>
      <c r="BM1" s="591" t="str">
        <f>H1</f>
        <v>PA 2023 F CLASS R/R</v>
      </c>
      <c r="BN1" s="193"/>
      <c r="BO1" s="193"/>
      <c r="BP1" s="193"/>
      <c r="BQ1" s="193"/>
      <c r="BR1" s="193"/>
      <c r="BS1" s="590" t="s">
        <v>548</v>
      </c>
      <c r="BT1" s="193"/>
      <c r="BU1" s="193"/>
      <c r="BV1" s="193"/>
      <c r="BW1" s="193"/>
      <c r="BX1" s="193"/>
      <c r="BY1" s="193"/>
      <c r="BZ1" s="193"/>
      <c r="CA1" s="591" t="str">
        <f>H1</f>
        <v>PA 2023 F CLASS R/R</v>
      </c>
      <c r="CB1" s="193"/>
      <c r="CC1" s="193"/>
      <c r="CD1" s="193"/>
      <c r="CE1" s="590" t="s">
        <v>550</v>
      </c>
      <c r="CF1" s="193"/>
      <c r="CG1" s="193"/>
      <c r="CH1" s="193"/>
      <c r="CI1" s="193"/>
      <c r="CJ1" s="193"/>
      <c r="CK1" s="193"/>
      <c r="CL1" s="591" t="str">
        <f>H1</f>
        <v>PA 2023 F CLASS R/R</v>
      </c>
      <c r="CM1" s="193"/>
      <c r="CN1" s="193"/>
      <c r="CO1" s="193"/>
      <c r="CP1" s="590" t="s">
        <v>552</v>
      </c>
      <c r="CQ1" s="193"/>
      <c r="CR1" s="193"/>
      <c r="CS1" s="193"/>
      <c r="CT1" s="193"/>
      <c r="CU1" s="193"/>
      <c r="CV1" s="193"/>
      <c r="CW1" s="193"/>
      <c r="CX1" s="193"/>
      <c r="CY1" s="193"/>
      <c r="CZ1" s="193"/>
      <c r="DA1" s="193"/>
      <c r="DB1" s="591" t="str">
        <f>H1</f>
        <v>PA 2023 F CLASS R/R</v>
      </c>
      <c r="DC1" s="193"/>
      <c r="DD1" s="193"/>
      <c r="DE1" s="590" t="s">
        <v>553</v>
      </c>
      <c r="DF1" s="193"/>
      <c r="DG1" s="193"/>
      <c r="DH1" s="193"/>
      <c r="DI1" s="193"/>
      <c r="DJ1" s="193"/>
      <c r="DK1" s="193"/>
      <c r="DL1" s="193"/>
      <c r="DM1" s="591" t="str">
        <f>H1</f>
        <v>PA 2023 F CLASS R/R</v>
      </c>
      <c r="DN1" s="193"/>
      <c r="DO1" s="193"/>
      <c r="DP1" s="590" t="s">
        <v>554</v>
      </c>
      <c r="DQ1" s="193"/>
      <c r="DR1" s="193"/>
      <c r="DS1" s="193"/>
      <c r="DT1" s="193"/>
      <c r="DU1" s="193"/>
      <c r="DV1" s="193"/>
      <c r="DW1" s="193"/>
      <c r="DX1" s="193"/>
      <c r="DY1" s="193"/>
      <c r="DZ1" s="193" t="str">
        <f>H1</f>
        <v>PA 2023 F CLASS R/R</v>
      </c>
      <c r="EA1" s="193"/>
      <c r="EB1" s="193"/>
      <c r="EC1" s="193"/>
      <c r="ED1" s="193"/>
      <c r="EE1" s="428"/>
      <c r="EF1" s="201"/>
      <c r="EG1" s="201"/>
      <c r="EH1" s="201"/>
      <c r="EI1" s="201"/>
      <c r="EJ1" s="201"/>
      <c r="EK1" s="201"/>
      <c r="EL1" s="193"/>
      <c r="EM1" s="193"/>
      <c r="EN1" s="193"/>
      <c r="EO1" s="193"/>
      <c r="EP1" s="193"/>
      <c r="EQ1" s="193"/>
      <c r="ER1" s="193"/>
      <c r="ES1" s="193"/>
      <c r="ET1" s="193"/>
      <c r="EU1" s="193"/>
    </row>
    <row r="2" spans="1:151" ht="12.9">
      <c r="A2" s="536" t="s">
        <v>341</v>
      </c>
      <c r="B2" s="193"/>
      <c r="C2" s="193"/>
      <c r="D2" s="193"/>
      <c r="E2" s="193"/>
      <c r="F2" s="193"/>
      <c r="G2" s="193"/>
      <c r="H2" s="695" t="s">
        <v>585</v>
      </c>
      <c r="I2" s="193"/>
      <c r="J2" s="193"/>
      <c r="K2" s="193"/>
      <c r="L2" s="193"/>
      <c r="M2" s="590" t="s">
        <v>342</v>
      </c>
      <c r="N2" s="193"/>
      <c r="O2" s="193"/>
      <c r="P2" s="193"/>
      <c r="Q2" s="193"/>
      <c r="R2" s="193"/>
      <c r="S2" s="193"/>
      <c r="T2" s="193"/>
      <c r="U2" s="591" t="str">
        <f>H2</f>
        <v>11/25/2022</v>
      </c>
      <c r="V2" s="193"/>
      <c r="W2" s="193"/>
      <c r="X2" s="193"/>
      <c r="Y2" s="193"/>
      <c r="Z2" s="590" t="s">
        <v>541</v>
      </c>
      <c r="AA2" s="193"/>
      <c r="AB2" s="193"/>
      <c r="AC2" s="193"/>
      <c r="AD2" s="193"/>
      <c r="AE2" s="696" t="str">
        <f>H2</f>
        <v>11/25/2022</v>
      </c>
      <c r="AF2" s="193"/>
      <c r="AG2" s="536"/>
      <c r="AH2" s="193"/>
      <c r="AI2" s="593" t="s">
        <v>343</v>
      </c>
      <c r="AJ2" s="193"/>
      <c r="AK2" s="193"/>
      <c r="AL2" s="193"/>
      <c r="AM2" s="193"/>
      <c r="AN2" s="193"/>
      <c r="AO2" s="193"/>
      <c r="AP2" s="193"/>
      <c r="AQ2" s="696" t="str">
        <f>H2</f>
        <v>11/25/2022</v>
      </c>
      <c r="AR2" s="193"/>
      <c r="AS2" s="193"/>
      <c r="AT2" s="193"/>
      <c r="AU2" s="593" t="s">
        <v>343</v>
      </c>
      <c r="AV2" s="193"/>
      <c r="AW2" s="193"/>
      <c r="AX2" s="193"/>
      <c r="AY2" s="193"/>
      <c r="AZ2" s="193"/>
      <c r="BA2" s="193"/>
      <c r="BB2" s="696" t="str">
        <f>H2</f>
        <v>11/25/2022</v>
      </c>
      <c r="BC2" s="193"/>
      <c r="BD2" s="193"/>
      <c r="BE2" s="193"/>
      <c r="BF2" s="193"/>
      <c r="BG2" s="593" t="s">
        <v>344</v>
      </c>
      <c r="BH2" s="193"/>
      <c r="BI2" s="193"/>
      <c r="BJ2" s="193"/>
      <c r="BK2" s="193"/>
      <c r="BL2" s="193"/>
      <c r="BM2" s="696" t="str">
        <f>H2</f>
        <v>11/25/2022</v>
      </c>
      <c r="BN2" s="193"/>
      <c r="BO2" s="193"/>
      <c r="BP2" s="193"/>
      <c r="BQ2" s="193"/>
      <c r="BR2" s="193"/>
      <c r="BS2" s="590" t="s">
        <v>549</v>
      </c>
      <c r="BT2" s="193"/>
      <c r="BU2" s="193"/>
      <c r="BV2" s="193"/>
      <c r="BW2" s="193"/>
      <c r="BX2" s="193"/>
      <c r="BY2" s="193"/>
      <c r="BZ2" s="193"/>
      <c r="CA2" s="696" t="str">
        <f>H2</f>
        <v>11/25/2022</v>
      </c>
      <c r="CB2" s="193"/>
      <c r="CC2" s="193"/>
      <c r="CD2" s="193"/>
      <c r="CE2" s="590" t="s">
        <v>551</v>
      </c>
      <c r="CF2" s="193"/>
      <c r="CG2" s="193"/>
      <c r="CH2" s="193"/>
      <c r="CI2" s="193"/>
      <c r="CJ2" s="193"/>
      <c r="CK2" s="193"/>
      <c r="CL2" s="697" t="str">
        <f>DB2</f>
        <v>11/25/2022</v>
      </c>
      <c r="CM2" s="193"/>
      <c r="CN2" s="193"/>
      <c r="CO2" s="193"/>
      <c r="CP2" s="590" t="s">
        <v>345</v>
      </c>
      <c r="CQ2" s="193"/>
      <c r="CR2" s="193"/>
      <c r="CS2" s="193"/>
      <c r="CT2" s="193"/>
      <c r="CU2" s="193"/>
      <c r="CV2" s="193"/>
      <c r="CW2" s="193"/>
      <c r="CX2" s="193"/>
      <c r="CY2" s="193"/>
      <c r="CZ2" s="193"/>
      <c r="DA2" s="193"/>
      <c r="DB2" s="697" t="str">
        <f>H2</f>
        <v>11/25/2022</v>
      </c>
      <c r="DC2" s="193"/>
      <c r="DD2" s="193"/>
      <c r="DE2" s="590" t="s">
        <v>535</v>
      </c>
      <c r="DF2" s="193" t="s">
        <v>536</v>
      </c>
      <c r="DG2" s="193"/>
      <c r="DH2" s="193"/>
      <c r="DI2" s="193"/>
      <c r="DJ2" s="193"/>
      <c r="DK2" s="193"/>
      <c r="DL2" s="193"/>
      <c r="DM2" s="697" t="str">
        <f>DB2</f>
        <v>11/25/2022</v>
      </c>
      <c r="DN2" s="193"/>
      <c r="DO2" s="193"/>
      <c r="DP2" s="590" t="s">
        <v>555</v>
      </c>
      <c r="DQ2" s="193"/>
      <c r="DR2" s="193"/>
      <c r="DS2" s="193"/>
      <c r="DT2" s="193"/>
      <c r="DU2" s="193"/>
      <c r="DV2" s="193"/>
      <c r="DW2" s="193"/>
      <c r="DX2" s="193"/>
      <c r="DY2" s="193"/>
      <c r="DZ2" s="697" t="str">
        <f>DM2</f>
        <v>11/25/2022</v>
      </c>
      <c r="EA2" s="193"/>
      <c r="EB2" s="193"/>
      <c r="EC2" s="193"/>
      <c r="ED2" s="193"/>
      <c r="EE2" s="212"/>
      <c r="EF2" s="193"/>
      <c r="EG2" s="193"/>
      <c r="EH2" s="193"/>
      <c r="EI2" s="193"/>
      <c r="EJ2" s="193"/>
      <c r="EK2" s="193"/>
      <c r="EL2" s="193"/>
      <c r="EM2" s="193"/>
      <c r="EN2" s="193"/>
      <c r="EO2" s="193"/>
      <c r="EP2" s="193"/>
      <c r="EQ2" s="193"/>
      <c r="ER2" s="193"/>
      <c r="ES2" s="193"/>
      <c r="ET2" s="193"/>
      <c r="EU2" s="193"/>
    </row>
    <row r="3" spans="1:151" ht="15.45">
      <c r="A3" s="536"/>
      <c r="B3" s="193"/>
      <c r="C3" s="193"/>
      <c r="D3" s="193"/>
      <c r="E3" s="193"/>
      <c r="F3" s="193"/>
      <c r="G3" s="193"/>
      <c r="H3" s="194"/>
      <c r="I3" s="193"/>
      <c r="J3" s="193"/>
      <c r="K3" s="193"/>
      <c r="L3" s="193"/>
      <c r="M3" s="193"/>
      <c r="N3" s="193"/>
      <c r="O3" s="193"/>
      <c r="P3" s="193"/>
      <c r="Q3" s="193"/>
      <c r="R3" s="193"/>
      <c r="S3" s="193"/>
      <c r="T3" s="193"/>
      <c r="U3" s="193"/>
      <c r="V3" s="193"/>
      <c r="W3" s="193"/>
      <c r="X3" s="193"/>
      <c r="Y3" s="193"/>
      <c r="Z3" s="536" t="s">
        <v>346</v>
      </c>
      <c r="AA3" s="193"/>
      <c r="AB3" s="193"/>
      <c r="AC3" s="193"/>
      <c r="AD3" s="193"/>
      <c r="AE3" s="194"/>
      <c r="AF3" s="193"/>
      <c r="AG3" s="193"/>
      <c r="AH3" s="193"/>
      <c r="AI3" s="193"/>
      <c r="AJ3" s="590" t="s">
        <v>543</v>
      </c>
      <c r="AK3" s="193"/>
      <c r="AL3" s="193"/>
      <c r="AM3" s="193"/>
      <c r="AN3" s="193"/>
      <c r="AO3" s="193"/>
      <c r="AP3" s="193"/>
      <c r="AQ3" s="194"/>
      <c r="AR3" s="193"/>
      <c r="AS3" s="193"/>
      <c r="AT3" s="193"/>
      <c r="AU3" s="193"/>
      <c r="AV3" s="590" t="s">
        <v>545</v>
      </c>
      <c r="AW3" s="193"/>
      <c r="AX3" s="193"/>
      <c r="AY3" s="193"/>
      <c r="AZ3" s="193"/>
      <c r="BA3" s="193"/>
      <c r="BB3" s="194"/>
      <c r="BC3" s="193"/>
      <c r="BD3" s="193"/>
      <c r="BE3" s="193"/>
      <c r="BF3" s="193"/>
      <c r="BG3" s="193"/>
      <c r="BH3" s="590" t="s">
        <v>547</v>
      </c>
      <c r="BI3" s="193"/>
      <c r="BJ3" s="193"/>
      <c r="BK3" s="193"/>
      <c r="BL3" s="193"/>
      <c r="BM3" s="194"/>
      <c r="BN3" s="193"/>
      <c r="BO3" s="193"/>
      <c r="BP3" s="193"/>
      <c r="BQ3" s="193"/>
      <c r="BR3" s="193"/>
      <c r="BS3" s="193"/>
      <c r="BT3" s="595"/>
      <c r="BU3" s="193"/>
      <c r="BV3" s="193"/>
      <c r="BW3" s="193"/>
      <c r="BX3" s="193"/>
      <c r="BY3" s="193"/>
      <c r="BZ3" s="193"/>
      <c r="CA3" s="194"/>
      <c r="CB3" s="193"/>
      <c r="CC3" s="193"/>
      <c r="CD3" s="193"/>
      <c r="CE3" s="193"/>
      <c r="CF3" s="193"/>
      <c r="CG3" s="193"/>
      <c r="CH3" s="212"/>
      <c r="CI3" s="193"/>
      <c r="CJ3" s="193"/>
      <c r="CK3" s="193"/>
      <c r="CL3" s="194"/>
      <c r="CM3" s="193"/>
      <c r="CN3" s="193"/>
      <c r="CO3" s="193"/>
      <c r="CP3" s="193"/>
      <c r="CQ3" s="193"/>
      <c r="CR3" s="193"/>
      <c r="CS3" s="193"/>
      <c r="CT3" s="193"/>
      <c r="CU3" s="193"/>
      <c r="CV3" s="193"/>
      <c r="CW3" s="193"/>
      <c r="CX3" s="193"/>
      <c r="CY3" s="193"/>
      <c r="CZ3" s="193"/>
      <c r="DA3" s="193"/>
      <c r="DB3" s="194"/>
      <c r="DC3" s="193"/>
      <c r="DD3" s="193"/>
      <c r="DE3" s="193"/>
      <c r="DF3" s="193"/>
      <c r="DG3" s="193"/>
      <c r="DH3" s="193"/>
      <c r="DI3" s="193"/>
      <c r="DJ3" s="193"/>
      <c r="DK3" s="193"/>
      <c r="DL3" s="193"/>
      <c r="DM3" s="194"/>
      <c r="DN3" s="193"/>
      <c r="DO3" s="193"/>
      <c r="DP3" s="193"/>
      <c r="DQ3" s="193"/>
      <c r="DR3" s="193"/>
      <c r="DS3" s="193"/>
      <c r="DT3" s="193"/>
      <c r="DU3" s="193"/>
      <c r="DV3" s="193"/>
      <c r="DW3" s="193"/>
      <c r="DX3" s="193"/>
      <c r="DY3" s="193"/>
      <c r="DZ3" s="194"/>
      <c r="EA3" s="193"/>
      <c r="EB3" s="193"/>
      <c r="EC3" s="193"/>
      <c r="ED3" s="193"/>
      <c r="EE3" s="428" t="s">
        <v>556</v>
      </c>
      <c r="EF3" s="201"/>
      <c r="EG3" s="201"/>
      <c r="EH3" s="201"/>
      <c r="EI3" s="201"/>
      <c r="EJ3" s="201"/>
      <c r="EK3" s="684"/>
      <c r="EL3" s="193"/>
      <c r="EM3" s="193"/>
      <c r="EN3" s="193"/>
      <c r="EO3" s="193"/>
      <c r="EP3" s="193"/>
      <c r="EQ3" s="193"/>
      <c r="ER3" s="193"/>
      <c r="ES3" s="193"/>
      <c r="ET3" s="193"/>
      <c r="EU3" s="193"/>
    </row>
    <row r="4" spans="1:151" ht="15.45">
      <c r="A4" s="193"/>
      <c r="B4" s="193"/>
      <c r="C4" s="193"/>
      <c r="D4" s="193"/>
      <c r="E4" s="193"/>
      <c r="F4" s="193"/>
      <c r="G4" s="193"/>
      <c r="H4" s="194"/>
      <c r="I4" s="193"/>
      <c r="J4" s="193"/>
      <c r="K4" s="193"/>
      <c r="L4" s="193"/>
      <c r="M4" s="193"/>
      <c r="N4" s="193"/>
      <c r="O4" s="193"/>
      <c r="P4" s="193"/>
      <c r="Q4" s="193"/>
      <c r="R4" s="193"/>
      <c r="S4" s="193"/>
      <c r="T4" s="193"/>
      <c r="U4" s="193"/>
      <c r="V4" s="193"/>
      <c r="W4" s="193"/>
      <c r="X4" s="193"/>
      <c r="Y4" s="193"/>
      <c r="Z4" s="193"/>
      <c r="AA4" s="193"/>
      <c r="AB4" s="193"/>
      <c r="AC4" s="193"/>
      <c r="AD4" s="193"/>
      <c r="AE4" s="194"/>
      <c r="AF4" s="193"/>
      <c r="AG4" s="193"/>
      <c r="AH4" s="193"/>
      <c r="AI4" s="193"/>
      <c r="AJ4" s="193"/>
      <c r="AK4" s="193"/>
      <c r="AL4" s="193"/>
      <c r="AM4" s="193"/>
      <c r="AN4" s="193"/>
      <c r="AO4" s="193"/>
      <c r="AP4" s="193"/>
      <c r="AQ4" s="194"/>
      <c r="AR4" s="193"/>
      <c r="AS4" s="193"/>
      <c r="AT4" s="193"/>
      <c r="AU4" s="193"/>
      <c r="AV4" s="193"/>
      <c r="AW4" s="193"/>
      <c r="AX4" s="193"/>
      <c r="AY4" s="193"/>
      <c r="AZ4" s="193"/>
      <c r="BA4" s="193"/>
      <c r="BB4" s="194"/>
      <c r="BC4" s="193"/>
      <c r="BD4" s="193"/>
      <c r="BE4" s="193"/>
      <c r="BF4" s="193"/>
      <c r="BG4" s="193"/>
      <c r="BH4" s="193"/>
      <c r="BI4" s="193"/>
      <c r="BJ4" s="193"/>
      <c r="BK4" s="193"/>
      <c r="BL4" s="193"/>
      <c r="BM4" s="194"/>
      <c r="BN4" s="193"/>
      <c r="BO4" s="193"/>
      <c r="BP4" s="193"/>
      <c r="BQ4" s="193"/>
      <c r="BR4" s="193"/>
      <c r="BS4" s="193"/>
      <c r="BT4" s="193"/>
      <c r="BU4" s="193"/>
      <c r="BV4" s="193"/>
      <c r="BW4" s="193"/>
      <c r="BX4" s="193"/>
      <c r="BY4" s="193"/>
      <c r="BZ4" s="193"/>
      <c r="CA4" s="194"/>
      <c r="CB4" s="193"/>
      <c r="CC4" s="193"/>
      <c r="CD4" s="193"/>
      <c r="CE4" s="193"/>
      <c r="CF4" s="193"/>
      <c r="CG4" s="193"/>
      <c r="CH4" s="193"/>
      <c r="CI4" s="193"/>
      <c r="CJ4" s="193"/>
      <c r="CK4" s="193"/>
      <c r="CL4" s="194"/>
      <c r="CM4" s="193"/>
      <c r="CN4" s="193"/>
      <c r="CO4" s="193"/>
      <c r="CP4" s="193"/>
      <c r="CQ4" s="193"/>
      <c r="CR4" s="193"/>
      <c r="CS4" s="193"/>
      <c r="CT4" s="193"/>
      <c r="CU4" s="193"/>
      <c r="CV4" s="193"/>
      <c r="CW4" s="193"/>
      <c r="CX4" s="193"/>
      <c r="CY4" s="193"/>
      <c r="CZ4" s="193"/>
      <c r="DA4" s="193"/>
      <c r="DB4" s="194"/>
      <c r="DC4" s="193"/>
      <c r="DD4" s="193"/>
      <c r="DE4" s="193"/>
      <c r="DF4" s="193"/>
      <c r="DG4" s="193"/>
      <c r="DH4" s="193"/>
      <c r="DI4" s="193"/>
      <c r="DJ4" s="193"/>
      <c r="DK4" s="193"/>
      <c r="DL4" s="193"/>
      <c r="DM4" s="194"/>
      <c r="DN4" s="193"/>
      <c r="DO4" s="193"/>
      <c r="DP4" s="596" t="s">
        <v>90</v>
      </c>
      <c r="DQ4" s="201"/>
      <c r="DR4" s="201"/>
      <c r="DS4" s="201"/>
      <c r="DT4" s="201"/>
      <c r="DU4" s="201"/>
      <c r="DV4" s="201"/>
      <c r="DW4" s="201"/>
      <c r="DX4" s="201"/>
      <c r="DY4" s="201"/>
      <c r="DZ4" s="194"/>
      <c r="EA4" s="193"/>
      <c r="EB4" s="193"/>
      <c r="EC4" s="193"/>
      <c r="ED4" s="193"/>
      <c r="EE4" s="429" t="s">
        <v>557</v>
      </c>
      <c r="EF4" s="201"/>
      <c r="EG4" s="201"/>
      <c r="EH4" s="201"/>
      <c r="EI4" s="201"/>
      <c r="EJ4" s="201"/>
      <c r="EK4" s="597"/>
      <c r="EL4" s="193"/>
      <c r="EM4" s="193"/>
      <c r="EN4" s="193"/>
      <c r="EO4" s="193"/>
      <c r="EP4" s="193"/>
      <c r="EQ4" s="193"/>
      <c r="ER4" s="193"/>
      <c r="ES4" s="193"/>
      <c r="ET4" s="193"/>
      <c r="EU4" s="193"/>
    </row>
    <row r="5" spans="1:151" ht="15.45">
      <c r="A5" s="193"/>
      <c r="B5" s="193"/>
      <c r="C5" s="193"/>
      <c r="D5" s="193"/>
      <c r="E5" s="193"/>
      <c r="F5" s="193"/>
      <c r="G5" s="193"/>
      <c r="H5" s="193"/>
      <c r="I5" s="193"/>
      <c r="J5" s="193"/>
      <c r="K5" s="193"/>
      <c r="L5" s="193"/>
      <c r="M5" s="193"/>
      <c r="N5" s="193"/>
      <c r="O5" s="193"/>
      <c r="P5" s="193"/>
      <c r="Q5" s="193"/>
      <c r="R5" s="193"/>
      <c r="S5" s="193"/>
      <c r="T5" s="193"/>
      <c r="U5" s="193"/>
      <c r="V5" s="193"/>
      <c r="W5" s="193"/>
      <c r="X5" s="193"/>
      <c r="Y5" s="193"/>
      <c r="Z5" s="193"/>
      <c r="AA5" s="193"/>
      <c r="AB5" s="193"/>
      <c r="AC5" s="193"/>
      <c r="AD5" s="193"/>
      <c r="AE5" s="193"/>
      <c r="AF5" s="193"/>
      <c r="AG5" s="193"/>
      <c r="AH5" s="193"/>
      <c r="AI5" s="193"/>
      <c r="AJ5" s="193"/>
      <c r="AK5" s="193"/>
      <c r="AL5" s="193"/>
      <c r="AM5" s="193"/>
      <c r="AN5" s="193"/>
      <c r="AO5" s="193"/>
      <c r="AP5" s="193"/>
      <c r="AQ5" s="193"/>
      <c r="AR5" s="193"/>
      <c r="AS5" s="193"/>
      <c r="AT5" s="193"/>
      <c r="AU5" s="193"/>
      <c r="AV5" s="193"/>
      <c r="AW5" s="193"/>
      <c r="AX5" s="193"/>
      <c r="AY5" s="193"/>
      <c r="AZ5" s="193"/>
      <c r="BA5" s="193"/>
      <c r="BB5" s="193"/>
      <c r="BC5" s="193"/>
      <c r="BD5" s="193"/>
      <c r="BE5" s="193"/>
      <c r="BF5" s="193"/>
      <c r="BG5" s="193"/>
      <c r="BH5" s="193"/>
      <c r="BI5" s="193"/>
      <c r="BJ5" s="193"/>
      <c r="BK5" s="193"/>
      <c r="BL5" s="193"/>
      <c r="BM5" s="193"/>
      <c r="BN5" s="193"/>
      <c r="BO5" s="193"/>
      <c r="BP5" s="193"/>
      <c r="BQ5" s="193"/>
      <c r="BR5" s="193"/>
      <c r="BS5" s="598" t="s">
        <v>347</v>
      </c>
      <c r="BT5" s="429"/>
      <c r="BU5" s="429"/>
      <c r="BV5" s="429"/>
      <c r="BW5" s="429"/>
      <c r="BX5" s="429"/>
      <c r="BY5" s="429"/>
      <c r="BZ5" s="429"/>
      <c r="CA5" s="429"/>
      <c r="CB5" s="193"/>
      <c r="CC5" s="193"/>
      <c r="CD5" s="193"/>
      <c r="CE5" s="193"/>
      <c r="CF5" s="193"/>
      <c r="CG5" s="193"/>
      <c r="CH5" s="193"/>
      <c r="CI5" s="193"/>
      <c r="CJ5" s="193"/>
      <c r="CK5" s="193"/>
      <c r="CL5" s="193"/>
      <c r="CM5" s="193"/>
      <c r="CN5" s="193"/>
      <c r="CO5" s="193"/>
      <c r="CP5" s="193"/>
      <c r="CQ5" s="193"/>
      <c r="CR5" s="193"/>
      <c r="CS5" s="193"/>
      <c r="CT5" s="193"/>
      <c r="CU5" s="193"/>
      <c r="CV5" s="193"/>
      <c r="CW5" s="193"/>
      <c r="CX5" s="193"/>
      <c r="CY5" s="193"/>
      <c r="CZ5" s="193"/>
      <c r="DA5" s="193"/>
      <c r="DB5" s="193"/>
      <c r="DC5" s="193"/>
      <c r="DD5" s="193"/>
      <c r="DE5" s="193"/>
      <c r="DF5" s="193"/>
      <c r="DG5" s="193"/>
      <c r="DH5" s="193"/>
      <c r="DI5" s="193"/>
      <c r="DJ5" s="193"/>
      <c r="DK5" s="193"/>
      <c r="DL5" s="193"/>
      <c r="DM5" s="193"/>
      <c r="DN5" s="193"/>
      <c r="DO5" s="193"/>
      <c r="DP5" s="596"/>
      <c r="DQ5" s="201"/>
      <c r="DR5" s="201"/>
      <c r="DS5" s="201"/>
      <c r="DT5" s="201"/>
      <c r="DU5" s="201"/>
      <c r="DV5" s="414"/>
      <c r="DW5" s="201"/>
      <c r="DX5" s="201"/>
      <c r="DY5" s="201"/>
      <c r="DZ5" s="201"/>
      <c r="EA5" s="193"/>
      <c r="EB5" s="193"/>
      <c r="EC5" s="193"/>
      <c r="ED5" s="193"/>
      <c r="EE5" s="201"/>
      <c r="EF5" s="201"/>
      <c r="EG5" s="201"/>
      <c r="EH5" s="201"/>
      <c r="EI5" s="201"/>
      <c r="EJ5" s="201"/>
      <c r="EK5" s="597"/>
      <c r="EL5" s="193"/>
      <c r="EM5" s="193"/>
      <c r="EN5" s="193"/>
      <c r="EO5" s="193"/>
      <c r="EP5" s="193"/>
      <c r="EQ5" s="193"/>
      <c r="ER5" s="193"/>
      <c r="ES5" s="193"/>
      <c r="ET5" s="193"/>
      <c r="EU5" s="193"/>
    </row>
    <row r="6" spans="1:151" ht="15.45">
      <c r="A6" s="598" t="s">
        <v>37</v>
      </c>
      <c r="B6" s="429"/>
      <c r="C6" s="429"/>
      <c r="D6" s="429"/>
      <c r="E6" s="429"/>
      <c r="F6" s="429"/>
      <c r="G6" s="429"/>
      <c r="H6" s="429"/>
      <c r="I6" s="193"/>
      <c r="J6" s="193"/>
      <c r="K6" s="193"/>
      <c r="L6" s="193"/>
      <c r="M6" s="598" t="s">
        <v>348</v>
      </c>
      <c r="N6" s="429"/>
      <c r="O6" s="429"/>
      <c r="P6" s="429"/>
      <c r="Q6" s="429"/>
      <c r="R6" s="429"/>
      <c r="S6" s="429"/>
      <c r="T6" s="429"/>
      <c r="U6" s="429"/>
      <c r="V6" s="193"/>
      <c r="W6" s="193"/>
      <c r="X6" s="193"/>
      <c r="Y6" s="193"/>
      <c r="Z6" s="193"/>
      <c r="AA6" s="193"/>
      <c r="AB6" s="193"/>
      <c r="AC6" s="193"/>
      <c r="AD6" s="193"/>
      <c r="AE6" s="193"/>
      <c r="AF6" s="193"/>
      <c r="AG6" s="193"/>
      <c r="AH6" s="193"/>
      <c r="AI6" s="598" t="s">
        <v>349</v>
      </c>
      <c r="AJ6" s="429"/>
      <c r="AK6" s="429"/>
      <c r="AL6" s="429"/>
      <c r="AM6" s="429"/>
      <c r="AN6" s="429"/>
      <c r="AO6" s="429"/>
      <c r="AP6" s="429"/>
      <c r="AQ6" s="429"/>
      <c r="AR6" s="193"/>
      <c r="AS6" s="193"/>
      <c r="AT6" s="193"/>
      <c r="AU6" s="598" t="s">
        <v>349</v>
      </c>
      <c r="AV6" s="429"/>
      <c r="AW6" s="429"/>
      <c r="AX6" s="429"/>
      <c r="AY6" s="429"/>
      <c r="AZ6" s="429"/>
      <c r="BA6" s="429"/>
      <c r="BB6" s="429"/>
      <c r="BC6" s="193"/>
      <c r="BD6" s="193"/>
      <c r="BE6" s="193"/>
      <c r="BF6" s="193"/>
      <c r="BG6" s="193"/>
      <c r="BH6" s="193"/>
      <c r="BI6" s="193"/>
      <c r="BJ6" s="193"/>
      <c r="BK6" s="193"/>
      <c r="BL6" s="193"/>
      <c r="BM6" s="193"/>
      <c r="BN6" s="193"/>
      <c r="BO6" s="193"/>
      <c r="BP6" s="193"/>
      <c r="BQ6" s="193"/>
      <c r="BR6" s="193"/>
      <c r="BS6" s="193"/>
      <c r="BT6" s="193"/>
      <c r="BU6" s="193"/>
      <c r="BV6" s="193"/>
      <c r="BW6" s="193"/>
      <c r="BX6" s="193"/>
      <c r="BY6" s="193"/>
      <c r="BZ6" s="193"/>
      <c r="CA6" s="193"/>
      <c r="CB6" s="193"/>
      <c r="CC6" s="193"/>
      <c r="CD6" s="193"/>
      <c r="CE6" s="193"/>
      <c r="CF6" s="193"/>
      <c r="CG6" s="193"/>
      <c r="CH6" s="193"/>
      <c r="CI6" s="193"/>
      <c r="CJ6" s="193"/>
      <c r="CK6" s="193"/>
      <c r="CL6" s="193"/>
      <c r="CM6" s="193"/>
      <c r="CN6" s="193"/>
      <c r="CO6" s="193"/>
      <c r="CP6" s="193"/>
      <c r="CQ6" s="193"/>
      <c r="CR6" s="193"/>
      <c r="CS6" s="193"/>
      <c r="CT6" s="193"/>
      <c r="CU6" s="193"/>
      <c r="CV6" s="193"/>
      <c r="CW6" s="193"/>
      <c r="CX6" s="193"/>
      <c r="CY6" s="193"/>
      <c r="CZ6" s="193"/>
      <c r="DA6" s="193"/>
      <c r="DB6" s="193"/>
      <c r="DC6" s="193"/>
      <c r="DD6" s="193"/>
      <c r="DE6" s="193"/>
      <c r="DF6" s="193"/>
      <c r="DG6" s="193"/>
      <c r="DH6" s="193"/>
      <c r="DI6" s="193"/>
      <c r="DJ6" s="193"/>
      <c r="DK6" s="193"/>
      <c r="DL6" s="193"/>
      <c r="DM6" s="193"/>
      <c r="DN6" s="193"/>
      <c r="DO6" s="193"/>
      <c r="DP6" s="193"/>
      <c r="DQ6" s="193"/>
      <c r="DR6" s="193"/>
      <c r="DS6" s="193"/>
      <c r="DT6" s="193"/>
      <c r="DU6" s="193"/>
      <c r="DV6" s="193"/>
      <c r="DW6" s="193"/>
      <c r="DX6" s="193"/>
      <c r="DY6" s="193"/>
      <c r="DZ6" s="193"/>
      <c r="EA6" s="193"/>
      <c r="EB6" s="193"/>
      <c r="EC6" s="193"/>
      <c r="ED6" s="193"/>
      <c r="EE6" s="429" t="s">
        <v>532</v>
      </c>
      <c r="EF6" s="201"/>
      <c r="EG6" s="201"/>
      <c r="EH6" s="201"/>
      <c r="EI6" s="201"/>
      <c r="EJ6" s="201"/>
      <c r="EK6" s="600"/>
      <c r="EL6" s="193"/>
      <c r="EM6" s="193"/>
      <c r="EN6" s="193"/>
      <c r="EO6" s="193"/>
      <c r="EP6" s="193"/>
      <c r="EQ6" s="193"/>
      <c r="ER6" s="193"/>
      <c r="ES6" s="193"/>
      <c r="ET6" s="193"/>
      <c r="EU6" s="193"/>
    </row>
    <row r="7" spans="1:151" ht="15.45">
      <c r="A7" s="193"/>
      <c r="B7" s="193"/>
      <c r="C7" s="193"/>
      <c r="D7" s="193"/>
      <c r="E7" s="193"/>
      <c r="F7" s="193"/>
      <c r="G7" s="193"/>
      <c r="H7" s="193"/>
      <c r="I7" s="193"/>
      <c r="J7" s="193"/>
      <c r="K7" s="193"/>
      <c r="L7" s="193"/>
      <c r="M7" s="598" t="s">
        <v>12</v>
      </c>
      <c r="N7" s="429"/>
      <c r="O7" s="429"/>
      <c r="P7" s="429"/>
      <c r="Q7" s="429"/>
      <c r="R7" s="429"/>
      <c r="S7" s="429"/>
      <c r="T7" s="429"/>
      <c r="U7" s="429"/>
      <c r="V7" s="193"/>
      <c r="W7" s="193"/>
      <c r="X7" s="193"/>
      <c r="Y7" s="193"/>
      <c r="Z7" s="598" t="s">
        <v>350</v>
      </c>
      <c r="AA7" s="429"/>
      <c r="AB7" s="429"/>
      <c r="AC7" s="429"/>
      <c r="AD7" s="429"/>
      <c r="AE7" s="429"/>
      <c r="AF7" s="193"/>
      <c r="AG7" s="193"/>
      <c r="AH7" s="193"/>
      <c r="AI7" s="193"/>
      <c r="AJ7" s="193"/>
      <c r="AK7" s="193"/>
      <c r="AL7" s="193"/>
      <c r="AM7" s="193"/>
      <c r="AN7" s="193"/>
      <c r="AO7" s="193"/>
      <c r="AP7" s="193"/>
      <c r="AQ7" s="193"/>
      <c r="AR7" s="193"/>
      <c r="AS7" s="193"/>
      <c r="AT7" s="193"/>
      <c r="AU7" s="193"/>
      <c r="AV7" s="193"/>
      <c r="AW7" s="193"/>
      <c r="AX7" s="193"/>
      <c r="AY7" s="193"/>
      <c r="AZ7" s="193"/>
      <c r="BA7" s="193"/>
      <c r="BB7" s="193"/>
      <c r="BC7" s="193"/>
      <c r="BD7" s="193"/>
      <c r="BE7" s="193"/>
      <c r="BF7" s="193"/>
      <c r="BG7" s="193"/>
      <c r="BH7" s="193"/>
      <c r="BI7" s="193"/>
      <c r="BJ7" s="193"/>
      <c r="BK7" s="193"/>
      <c r="BL7" s="193"/>
      <c r="BM7" s="193"/>
      <c r="BN7" s="193"/>
      <c r="BO7" s="193"/>
      <c r="BP7" s="193"/>
      <c r="BQ7" s="193"/>
      <c r="BR7" s="193"/>
      <c r="BS7" s="193"/>
      <c r="BT7" s="193"/>
      <c r="BU7" s="193"/>
      <c r="BV7" s="193"/>
      <c r="BW7" s="193"/>
      <c r="BX7" s="193"/>
      <c r="BY7" s="193"/>
      <c r="BZ7" s="193"/>
      <c r="CA7" s="193"/>
      <c r="CB7" s="193"/>
      <c r="CC7" s="193"/>
      <c r="CD7" s="193"/>
      <c r="CE7" s="596" t="s">
        <v>149</v>
      </c>
      <c r="CF7" s="201"/>
      <c r="CG7" s="201"/>
      <c r="CH7" s="201"/>
      <c r="CI7" s="201"/>
      <c r="CJ7" s="201"/>
      <c r="CK7" s="201"/>
      <c r="CL7" s="201"/>
      <c r="CM7" s="193"/>
      <c r="CN7" s="193"/>
      <c r="CO7" s="193"/>
      <c r="CP7" s="596" t="s">
        <v>351</v>
      </c>
      <c r="CQ7" s="201"/>
      <c r="CR7" s="201"/>
      <c r="CS7" s="201"/>
      <c r="CT7" s="201"/>
      <c r="CU7" s="201"/>
      <c r="CV7" s="201"/>
      <c r="CW7" s="201"/>
      <c r="CX7" s="201"/>
      <c r="CY7" s="201"/>
      <c r="CZ7" s="201"/>
      <c r="DA7" s="201"/>
      <c r="DB7" s="201"/>
      <c r="DC7" s="193"/>
      <c r="DD7" s="193"/>
      <c r="DE7" s="596" t="s">
        <v>352</v>
      </c>
      <c r="DF7" s="599"/>
      <c r="DG7" s="599"/>
      <c r="DH7" s="599"/>
      <c r="DI7" s="599"/>
      <c r="DJ7" s="599"/>
      <c r="DK7" s="599"/>
      <c r="DL7" s="599"/>
      <c r="DM7" s="599"/>
      <c r="DN7" s="193"/>
      <c r="DO7" s="193"/>
      <c r="DP7" s="193"/>
      <c r="DQ7" s="193"/>
      <c r="DR7" s="193"/>
      <c r="DS7" s="193"/>
      <c r="DT7" s="193"/>
      <c r="DU7" s="193"/>
      <c r="DV7" s="193"/>
      <c r="DW7" s="193"/>
      <c r="DX7" s="193"/>
      <c r="DY7" s="193"/>
      <c r="DZ7" s="193"/>
      <c r="EA7" s="193"/>
      <c r="EB7" s="193"/>
      <c r="EC7" s="193"/>
      <c r="ED7" s="193"/>
      <c r="EE7" s="685"/>
      <c r="EF7" s="212"/>
      <c r="EG7" s="212"/>
      <c r="EH7" s="212"/>
      <c r="EI7" s="212"/>
      <c r="EJ7" s="686"/>
      <c r="EK7" s="600"/>
      <c r="EL7" s="193"/>
      <c r="EM7" s="193"/>
      <c r="EN7" s="193"/>
      <c r="EO7" s="193"/>
      <c r="EP7" s="193"/>
      <c r="EQ7" s="193"/>
      <c r="ER7" s="193"/>
      <c r="ES7" s="193"/>
      <c r="ET7" s="193"/>
      <c r="EU7" s="193"/>
    </row>
    <row r="8" spans="1:151" ht="15.45">
      <c r="A8" s="193"/>
      <c r="B8" s="193"/>
      <c r="C8" s="193"/>
      <c r="D8" s="193"/>
      <c r="E8" s="193"/>
      <c r="F8" s="193"/>
      <c r="G8" s="193"/>
      <c r="H8" s="193"/>
      <c r="I8" s="193"/>
      <c r="J8" s="193"/>
      <c r="K8" s="193"/>
      <c r="L8" s="193"/>
      <c r="M8" s="193"/>
      <c r="N8" s="193"/>
      <c r="O8" s="193"/>
      <c r="P8" s="193"/>
      <c r="Q8" s="193"/>
      <c r="R8" s="193"/>
      <c r="S8" s="193"/>
      <c r="T8" s="193"/>
      <c r="U8" s="193"/>
      <c r="V8" s="193"/>
      <c r="W8" s="193"/>
      <c r="X8" s="193"/>
      <c r="Y8" s="193"/>
      <c r="Z8" s="193"/>
      <c r="AA8" s="193"/>
      <c r="AB8" s="193"/>
      <c r="AC8" s="193"/>
      <c r="AD8" s="193"/>
      <c r="AE8" s="193"/>
      <c r="AF8" s="193"/>
      <c r="AG8" s="536"/>
      <c r="AH8" s="193"/>
      <c r="AI8" s="222" t="s">
        <v>31</v>
      </c>
      <c r="AJ8" s="201"/>
      <c r="AK8" s="201"/>
      <c r="AL8" s="201"/>
      <c r="AM8" s="201"/>
      <c r="AN8" s="201"/>
      <c r="AO8" s="201"/>
      <c r="AP8" s="201"/>
      <c r="AQ8" s="201"/>
      <c r="AR8" s="193"/>
      <c r="AS8" s="193"/>
      <c r="AT8" s="193"/>
      <c r="AU8" s="598" t="s">
        <v>357</v>
      </c>
      <c r="AV8" s="429"/>
      <c r="AW8" s="429"/>
      <c r="AX8" s="429"/>
      <c r="AY8" s="429"/>
      <c r="AZ8" s="429"/>
      <c r="BA8" s="429"/>
      <c r="BB8" s="429"/>
      <c r="BC8" s="193"/>
      <c r="BD8" s="193"/>
      <c r="BE8" s="193"/>
      <c r="BF8" s="193"/>
      <c r="BG8" s="596" t="s">
        <v>353</v>
      </c>
      <c r="BH8" s="201"/>
      <c r="BI8" s="201"/>
      <c r="BJ8" s="201"/>
      <c r="BK8" s="201"/>
      <c r="BL8" s="201"/>
      <c r="BM8" s="201"/>
      <c r="BN8" s="201"/>
      <c r="BO8" s="193"/>
      <c r="BP8" s="193"/>
      <c r="BQ8" s="193"/>
      <c r="BR8" s="193"/>
      <c r="BS8" s="193"/>
      <c r="BT8" s="536" t="s">
        <v>354</v>
      </c>
      <c r="BU8" s="536" t="s">
        <v>354</v>
      </c>
      <c r="BV8" s="536"/>
      <c r="BW8" s="536"/>
      <c r="BX8" s="536"/>
      <c r="BY8" s="536"/>
      <c r="BZ8" s="536"/>
      <c r="CA8" s="536"/>
      <c r="CB8" s="193"/>
      <c r="CC8" s="193"/>
      <c r="CD8" s="193"/>
      <c r="CE8" s="222" t="s">
        <v>150</v>
      </c>
      <c r="CF8" s="201"/>
      <c r="CG8" s="201"/>
      <c r="CH8" s="201"/>
      <c r="CI8" s="201"/>
      <c r="CJ8" s="201"/>
      <c r="CK8" s="201"/>
      <c r="CL8" s="201"/>
      <c r="CM8" s="193"/>
      <c r="CN8" s="193"/>
      <c r="CO8" s="193"/>
      <c r="CP8" s="222" t="s">
        <v>355</v>
      </c>
      <c r="CQ8" s="201"/>
      <c r="CR8" s="201"/>
      <c r="CS8" s="201"/>
      <c r="CT8" s="201"/>
      <c r="CU8" s="201"/>
      <c r="CV8" s="201"/>
      <c r="CW8" s="201"/>
      <c r="CX8" s="201"/>
      <c r="CY8" s="201"/>
      <c r="CZ8" s="201"/>
      <c r="DA8" s="201"/>
      <c r="DB8" s="201"/>
      <c r="DC8" s="193"/>
      <c r="DD8" s="193"/>
      <c r="DE8" s="193"/>
      <c r="DF8" s="193"/>
      <c r="DG8" s="193"/>
      <c r="DH8" s="193"/>
      <c r="DI8" s="193"/>
      <c r="DJ8" s="193"/>
      <c r="DK8" s="193"/>
      <c r="DL8" s="193"/>
      <c r="DM8" s="193"/>
      <c r="DN8" s="193"/>
      <c r="DO8" s="193"/>
      <c r="DP8" s="193"/>
      <c r="DQ8" s="193"/>
      <c r="DR8" s="193"/>
      <c r="DS8" s="193"/>
      <c r="DT8" s="601" t="s">
        <v>81</v>
      </c>
      <c r="DU8" s="193"/>
      <c r="DV8" s="601" t="s">
        <v>91</v>
      </c>
      <c r="DW8" s="193"/>
      <c r="DX8" s="193"/>
      <c r="DY8" s="193"/>
      <c r="DZ8" s="601" t="s">
        <v>92</v>
      </c>
      <c r="EA8" s="193"/>
      <c r="EB8" s="193"/>
      <c r="EC8" s="193"/>
      <c r="ED8" s="193"/>
      <c r="EE8" s="598" t="s">
        <v>370</v>
      </c>
      <c r="EF8" s="429"/>
      <c r="EG8" s="429"/>
      <c r="EH8" s="429"/>
      <c r="EI8" s="212"/>
      <c r="EJ8" s="686" t="s">
        <v>76</v>
      </c>
      <c r="EK8" s="600"/>
      <c r="EL8" s="193"/>
      <c r="EM8" s="193"/>
      <c r="EN8" s="193"/>
      <c r="EO8" s="193"/>
      <c r="EP8" s="193"/>
      <c r="EQ8" s="193"/>
      <c r="ER8" s="193"/>
      <c r="ES8" s="193"/>
      <c r="ET8" s="193"/>
      <c r="EU8" s="193"/>
    </row>
    <row r="9" spans="1:151" ht="15">
      <c r="A9" s="193"/>
      <c r="B9" s="193"/>
      <c r="C9" s="193"/>
      <c r="D9" s="193"/>
      <c r="E9" s="193"/>
      <c r="F9" s="193"/>
      <c r="G9" s="193"/>
      <c r="H9" s="193"/>
      <c r="I9" s="193"/>
      <c r="J9" s="193"/>
      <c r="K9" s="193"/>
      <c r="L9" s="193"/>
      <c r="M9" s="193"/>
      <c r="N9" s="193"/>
      <c r="O9" s="193"/>
      <c r="P9" s="193"/>
      <c r="Q9" s="193"/>
      <c r="R9" s="193"/>
      <c r="S9" s="193"/>
      <c r="T9" s="193"/>
      <c r="U9" s="193"/>
      <c r="V9" s="193"/>
      <c r="W9" s="193"/>
      <c r="X9" s="193"/>
      <c r="Y9" s="193"/>
      <c r="Z9" s="193"/>
      <c r="AA9" s="193"/>
      <c r="AB9" s="193"/>
      <c r="AC9" s="193"/>
      <c r="AD9" s="193"/>
      <c r="AE9" s="193"/>
      <c r="AF9" s="193"/>
      <c r="AG9" s="536"/>
      <c r="AH9" s="193"/>
      <c r="AI9" s="222" t="s">
        <v>356</v>
      </c>
      <c r="AJ9" s="201"/>
      <c r="AK9" s="201"/>
      <c r="AL9" s="201"/>
      <c r="AM9" s="201"/>
      <c r="AN9" s="201"/>
      <c r="AO9" s="201"/>
      <c r="AP9" s="201"/>
      <c r="AQ9" s="201"/>
      <c r="AR9" s="193"/>
      <c r="AS9" s="193"/>
      <c r="AT9" s="193"/>
      <c r="AU9" s="222" t="s">
        <v>356</v>
      </c>
      <c r="AV9" s="201"/>
      <c r="AW9" s="201"/>
      <c r="AX9" s="201"/>
      <c r="AY9" s="201"/>
      <c r="AZ9" s="201"/>
      <c r="BA9" s="201"/>
      <c r="BB9" s="201"/>
      <c r="BC9" s="193"/>
      <c r="BD9" s="193"/>
      <c r="BE9" s="193"/>
      <c r="BF9" s="193"/>
      <c r="BG9" s="193"/>
      <c r="BH9" s="193"/>
      <c r="BI9" s="193"/>
      <c r="BJ9" s="193"/>
      <c r="BK9" s="193"/>
      <c r="BL9" s="193"/>
      <c r="BM9" s="193"/>
      <c r="BN9" s="193"/>
      <c r="BO9" s="193"/>
      <c r="BP9" s="193"/>
      <c r="BQ9" s="193"/>
      <c r="BR9" s="193"/>
      <c r="BS9" s="193"/>
      <c r="BT9" s="536" t="s">
        <v>358</v>
      </c>
      <c r="BU9" s="536" t="s">
        <v>358</v>
      </c>
      <c r="BV9" s="536"/>
      <c r="BW9" s="536"/>
      <c r="BX9" s="536"/>
      <c r="BY9" s="536"/>
      <c r="BZ9" s="536"/>
      <c r="CA9" s="536"/>
      <c r="CB9" s="193"/>
      <c r="CC9" s="193"/>
      <c r="CD9" s="193"/>
      <c r="CE9" s="222" t="s">
        <v>151</v>
      </c>
      <c r="CF9" s="201"/>
      <c r="CG9" s="201"/>
      <c r="CH9" s="201"/>
      <c r="CI9" s="201"/>
      <c r="CJ9" s="201"/>
      <c r="CK9" s="201"/>
      <c r="CL9" s="201"/>
      <c r="CM9" s="193"/>
      <c r="CN9" s="193"/>
      <c r="CO9" s="193"/>
      <c r="CP9" s="222" t="s">
        <v>359</v>
      </c>
      <c r="CQ9" s="201"/>
      <c r="CR9" s="201"/>
      <c r="CS9" s="201"/>
      <c r="CT9" s="201"/>
      <c r="CU9" s="201"/>
      <c r="CV9" s="201"/>
      <c r="CW9" s="201"/>
      <c r="CX9" s="201"/>
      <c r="CY9" s="201"/>
      <c r="CZ9" s="201"/>
      <c r="DA9" s="201"/>
      <c r="DB9" s="201"/>
      <c r="DC9" s="193"/>
      <c r="DD9" s="193"/>
      <c r="DE9" s="193"/>
      <c r="DF9" s="193"/>
      <c r="DG9" s="193"/>
      <c r="DH9" s="193"/>
      <c r="DI9" s="193"/>
      <c r="DJ9" s="193"/>
      <c r="DK9" s="193"/>
      <c r="DL9" s="193"/>
      <c r="DM9" s="193"/>
      <c r="DN9" s="193"/>
      <c r="DO9" s="193"/>
      <c r="DP9" s="193"/>
      <c r="DQ9" s="222" t="s">
        <v>93</v>
      </c>
      <c r="DR9" s="201"/>
      <c r="DS9" s="193"/>
      <c r="DT9" s="601" t="s">
        <v>94</v>
      </c>
      <c r="DU9" s="193"/>
      <c r="DV9" s="601" t="s">
        <v>95</v>
      </c>
      <c r="DW9" s="601" t="s">
        <v>96</v>
      </c>
      <c r="DX9" s="193"/>
      <c r="DY9" s="601" t="s">
        <v>97</v>
      </c>
      <c r="DZ9" s="283" t="s">
        <v>86</v>
      </c>
      <c r="EA9" s="193"/>
      <c r="EB9" s="193"/>
      <c r="EC9" s="193"/>
      <c r="ED9" s="193"/>
      <c r="EE9" s="597"/>
      <c r="EF9" s="597"/>
      <c r="EG9" s="597"/>
      <c r="EH9" s="597"/>
      <c r="EI9" s="597"/>
      <c r="EJ9" s="597"/>
      <c r="EK9" s="597"/>
      <c r="EL9" s="193"/>
      <c r="EM9" s="193"/>
      <c r="EN9" s="193"/>
      <c r="EO9" s="193"/>
      <c r="EP9" s="193"/>
      <c r="EQ9" s="193"/>
      <c r="ER9" s="193"/>
      <c r="ES9" s="193"/>
      <c r="ET9" s="193"/>
      <c r="EU9" s="193"/>
    </row>
    <row r="10" spans="1:151" ht="15" customHeight="1">
      <c r="A10" s="534" t="s">
        <v>360</v>
      </c>
      <c r="B10" s="193"/>
      <c r="C10" s="193"/>
      <c r="D10" s="193"/>
      <c r="E10" s="193"/>
      <c r="F10" s="193"/>
      <c r="G10" s="193"/>
      <c r="H10" s="193"/>
      <c r="I10" s="193"/>
      <c r="J10" s="193"/>
      <c r="K10" s="193"/>
      <c r="L10" s="193"/>
      <c r="M10" s="193"/>
      <c r="N10" s="193"/>
      <c r="O10" s="193"/>
      <c r="P10" s="193"/>
      <c r="Q10" s="193"/>
      <c r="R10" s="193"/>
      <c r="S10" s="193"/>
      <c r="T10" s="193"/>
      <c r="U10" s="193"/>
      <c r="V10" s="193"/>
      <c r="W10" s="193"/>
      <c r="X10" s="193"/>
      <c r="Y10" s="193"/>
      <c r="Z10" s="775" t="s">
        <v>621</v>
      </c>
      <c r="AA10" s="775"/>
      <c r="AB10" s="775"/>
      <c r="AC10" s="775"/>
      <c r="AD10" s="775"/>
      <c r="AE10" s="775"/>
      <c r="AF10" s="193"/>
      <c r="AG10" s="536"/>
      <c r="AH10" s="193"/>
      <c r="AI10" s="193"/>
      <c r="AJ10" s="193"/>
      <c r="AK10" s="193"/>
      <c r="AL10" s="193"/>
      <c r="AM10" s="193"/>
      <c r="AN10" s="193"/>
      <c r="AO10" s="193"/>
      <c r="AP10" s="193"/>
      <c r="AQ10" s="193"/>
      <c r="AR10" s="193"/>
      <c r="AS10" s="193"/>
      <c r="AT10" s="193"/>
      <c r="AU10" s="193"/>
      <c r="AV10" s="193"/>
      <c r="AW10" s="193"/>
      <c r="AX10" s="193"/>
      <c r="AY10" s="193"/>
      <c r="AZ10" s="193"/>
      <c r="BA10" s="193"/>
      <c r="BB10" s="193"/>
      <c r="BC10" s="193"/>
      <c r="BD10" s="193"/>
      <c r="BE10" s="193"/>
      <c r="BF10" s="193"/>
      <c r="BG10" s="193"/>
      <c r="BH10" s="193"/>
      <c r="BI10" s="193"/>
      <c r="BJ10" s="193"/>
      <c r="BK10" s="193"/>
      <c r="BL10" s="193"/>
      <c r="BM10" s="193"/>
      <c r="BN10" s="193"/>
      <c r="BO10" s="193"/>
      <c r="BP10" s="193"/>
      <c r="BQ10" s="193"/>
      <c r="BR10" s="193"/>
      <c r="BS10" s="193"/>
      <c r="BT10" s="536" t="s">
        <v>361</v>
      </c>
      <c r="BU10" s="536" t="s">
        <v>361</v>
      </c>
      <c r="BV10" s="536"/>
      <c r="BW10" s="536"/>
      <c r="BX10" s="536"/>
      <c r="BY10" s="536"/>
      <c r="BZ10" s="536"/>
      <c r="CA10" s="536"/>
      <c r="CB10" s="193"/>
      <c r="CC10" s="193"/>
      <c r="CD10" s="193"/>
      <c r="CE10" s="193"/>
      <c r="CF10" s="193"/>
      <c r="CG10" s="193"/>
      <c r="CH10" s="193"/>
      <c r="CI10" s="193"/>
      <c r="CJ10" s="193"/>
      <c r="CK10" s="193"/>
      <c r="CL10" s="193"/>
      <c r="CM10" s="193"/>
      <c r="CN10" s="193"/>
      <c r="CO10" s="193"/>
      <c r="CP10" s="193"/>
      <c r="CQ10" s="193"/>
      <c r="CR10" s="193"/>
      <c r="CS10" s="193"/>
      <c r="CT10" s="193"/>
      <c r="CU10" s="193"/>
      <c r="CV10" s="193"/>
      <c r="CW10" s="193"/>
      <c r="CX10" s="193"/>
      <c r="CY10" s="193"/>
      <c r="CZ10" s="193"/>
      <c r="DA10" s="193"/>
      <c r="DB10" s="193"/>
      <c r="DC10" s="193"/>
      <c r="DD10" s="193"/>
      <c r="DE10" s="193"/>
      <c r="DF10" s="193"/>
      <c r="DG10" s="193"/>
      <c r="DH10" s="193"/>
      <c r="DI10" s="193"/>
      <c r="DJ10" s="193"/>
      <c r="DK10" s="193"/>
      <c r="DL10" s="193"/>
      <c r="DM10" s="193"/>
      <c r="DN10" s="193"/>
      <c r="DO10" s="193"/>
      <c r="DP10" s="193"/>
      <c r="DQ10" s="222" t="s">
        <v>98</v>
      </c>
      <c r="DR10" s="201"/>
      <c r="DS10" s="193"/>
      <c r="DT10" s="601" t="s">
        <v>99</v>
      </c>
      <c r="DU10" s="193"/>
      <c r="DV10" s="601" t="s">
        <v>99</v>
      </c>
      <c r="DW10" s="601" t="s">
        <v>100</v>
      </c>
      <c r="DX10" s="193"/>
      <c r="DY10" s="601" t="s">
        <v>100</v>
      </c>
      <c r="DZ10" s="283" t="s">
        <v>101</v>
      </c>
      <c r="EA10" s="193"/>
      <c r="EB10" s="193"/>
      <c r="EC10" s="193"/>
      <c r="ED10" s="193"/>
      <c r="EE10" s="193"/>
      <c r="EF10" s="193"/>
      <c r="EG10" s="193"/>
      <c r="EH10" s="193"/>
      <c r="EI10" s="193"/>
      <c r="EJ10" s="193"/>
      <c r="EK10" s="597"/>
      <c r="EL10" s="193"/>
      <c r="EM10" s="193"/>
      <c r="EN10" s="193"/>
      <c r="EO10" s="193"/>
      <c r="EP10" s="193"/>
      <c r="EQ10" s="193"/>
      <c r="ER10" s="193"/>
      <c r="ES10" s="193"/>
      <c r="ET10" s="193"/>
      <c r="EU10" s="193"/>
    </row>
    <row r="11" spans="1:151" ht="15">
      <c r="A11" s="534" t="s">
        <v>362</v>
      </c>
      <c r="B11" s="193"/>
      <c r="C11" s="193"/>
      <c r="D11" s="193"/>
      <c r="E11" s="193"/>
      <c r="F11" s="193"/>
      <c r="G11" s="193"/>
      <c r="H11" s="193"/>
      <c r="I11" s="193"/>
      <c r="J11" s="193"/>
      <c r="K11" s="193"/>
      <c r="L11" s="193"/>
      <c r="M11" s="193"/>
      <c r="N11" s="193"/>
      <c r="O11" s="193"/>
      <c r="P11" s="193"/>
      <c r="Q11" s="193"/>
      <c r="R11" s="193"/>
      <c r="S11" s="193"/>
      <c r="T11" s="193"/>
      <c r="U11" s="193"/>
      <c r="V11" s="193"/>
      <c r="W11" s="193"/>
      <c r="X11" s="193"/>
      <c r="Y11" s="193"/>
      <c r="Z11" s="775"/>
      <c r="AA11" s="775"/>
      <c r="AB11" s="775"/>
      <c r="AC11" s="775"/>
      <c r="AD11" s="775"/>
      <c r="AE11" s="775"/>
      <c r="AF11" s="193"/>
      <c r="AG11" s="536"/>
      <c r="AH11" s="193"/>
      <c r="AI11" s="193"/>
      <c r="AJ11" s="602" t="s">
        <v>363</v>
      </c>
      <c r="AK11" s="603"/>
      <c r="AL11" s="603"/>
      <c r="AM11" s="201"/>
      <c r="AN11" s="602" t="s">
        <v>117</v>
      </c>
      <c r="AO11" s="603"/>
      <c r="AP11" s="603"/>
      <c r="AQ11" s="193"/>
      <c r="AR11" s="193"/>
      <c r="AS11" s="193"/>
      <c r="AT11" s="193"/>
      <c r="AU11" s="193"/>
      <c r="AV11" s="602" t="s">
        <v>296</v>
      </c>
      <c r="AW11" s="603"/>
      <c r="AX11" s="193"/>
      <c r="AY11" s="602" t="s">
        <v>87</v>
      </c>
      <c r="AZ11" s="603"/>
      <c r="BA11" s="193"/>
      <c r="BB11" s="193"/>
      <c r="BC11" s="193"/>
      <c r="BD11" s="193"/>
      <c r="BE11" s="193"/>
      <c r="BF11" s="193"/>
      <c r="BG11" s="193"/>
      <c r="BH11" s="193"/>
      <c r="BI11" s="193"/>
      <c r="BJ11" s="193"/>
      <c r="BK11" s="193"/>
      <c r="BL11" s="193"/>
      <c r="BM11" s="193"/>
      <c r="BN11" s="193"/>
      <c r="BO11" s="193"/>
      <c r="BP11" s="193"/>
      <c r="BQ11" s="193"/>
      <c r="BR11" s="193"/>
      <c r="BS11" s="193"/>
      <c r="BT11" s="193"/>
      <c r="BU11" s="193"/>
      <c r="BV11" s="193"/>
      <c r="BW11" s="193"/>
      <c r="BX11" s="193"/>
      <c r="BY11" s="193"/>
      <c r="BZ11" s="193"/>
      <c r="CA11" s="193"/>
      <c r="CB11" s="193"/>
      <c r="CC11" s="193"/>
      <c r="CD11" s="193"/>
      <c r="CE11" s="193"/>
      <c r="CF11" s="193"/>
      <c r="CG11" s="193"/>
      <c r="CH11" s="193"/>
      <c r="CI11" s="193"/>
      <c r="CJ11" s="193"/>
      <c r="CK11" s="193"/>
      <c r="CL11" s="193"/>
      <c r="CM11" s="193"/>
      <c r="CN11" s="193"/>
      <c r="CO11" s="193"/>
      <c r="CP11" s="193"/>
      <c r="CQ11" s="193"/>
      <c r="CR11" s="193"/>
      <c r="CS11" s="193"/>
      <c r="CT11" s="193"/>
      <c r="CU11" s="193"/>
      <c r="CV11" s="193"/>
      <c r="CW11" s="193"/>
      <c r="CX11" s="193"/>
      <c r="CY11" s="193"/>
      <c r="CZ11" s="193"/>
      <c r="DA11" s="193"/>
      <c r="DB11" s="193"/>
      <c r="DC11" s="193"/>
      <c r="DD11" s="193"/>
      <c r="DE11" s="534" t="s">
        <v>364</v>
      </c>
      <c r="DF11" s="193"/>
      <c r="DG11" s="193"/>
      <c r="DH11" s="193"/>
      <c r="DI11" s="193"/>
      <c r="DJ11" s="193"/>
      <c r="DK11" s="193"/>
      <c r="DL11" s="193"/>
      <c r="DM11" s="193"/>
      <c r="DN11" s="193"/>
      <c r="DO11" s="193"/>
      <c r="DP11" s="193"/>
      <c r="DQ11" s="193"/>
      <c r="DR11" s="193"/>
      <c r="DS11" s="193"/>
      <c r="DT11" s="193"/>
      <c r="DU11" s="193"/>
      <c r="DV11" s="193"/>
      <c r="DW11" s="193"/>
      <c r="DX11" s="193"/>
      <c r="DY11" s="193"/>
      <c r="DZ11" s="193"/>
      <c r="EA11" s="193"/>
      <c r="EB11" s="193"/>
      <c r="EC11" s="193"/>
      <c r="ED11" s="193"/>
      <c r="EE11" s="536" t="s">
        <v>381</v>
      </c>
      <c r="EF11" s="193"/>
      <c r="EG11" s="193"/>
      <c r="EH11" s="193"/>
      <c r="EI11" s="193"/>
      <c r="EJ11" s="538">
        <f>ROUND('Pure Prem Test'!AB7,4)</f>
        <v>0.99819999999999998</v>
      </c>
      <c r="EK11" s="618"/>
      <c r="EL11" s="193"/>
      <c r="EM11" s="193"/>
      <c r="EN11" s="193"/>
      <c r="EO11" s="193"/>
      <c r="EP11" s="193"/>
      <c r="EQ11" s="193"/>
      <c r="ER11" s="193"/>
      <c r="ES11" s="193"/>
      <c r="ET11" s="193"/>
      <c r="EU11" s="193"/>
    </row>
    <row r="12" spans="1:151" ht="15">
      <c r="A12" s="193"/>
      <c r="B12" s="193"/>
      <c r="C12" s="193"/>
      <c r="D12" s="193"/>
      <c r="E12" s="193"/>
      <c r="F12" s="193"/>
      <c r="G12" s="193"/>
      <c r="H12" s="193"/>
      <c r="I12" s="193"/>
      <c r="J12" s="193"/>
      <c r="K12" s="193"/>
      <c r="L12" s="193"/>
      <c r="M12" s="193"/>
      <c r="N12" s="193"/>
      <c r="O12" s="193"/>
      <c r="P12" s="193"/>
      <c r="Q12" s="193"/>
      <c r="R12" s="193"/>
      <c r="S12" s="193"/>
      <c r="T12" s="193"/>
      <c r="U12" s="193"/>
      <c r="V12" s="193"/>
      <c r="W12" s="193"/>
      <c r="X12" s="193"/>
      <c r="Y12" s="193"/>
      <c r="Z12" s="775"/>
      <c r="AA12" s="775"/>
      <c r="AB12" s="775"/>
      <c r="AC12" s="775"/>
      <c r="AD12" s="775"/>
      <c r="AE12" s="775"/>
      <c r="AF12" s="193"/>
      <c r="AG12" s="536"/>
      <c r="AH12" s="193"/>
      <c r="AI12" s="193"/>
      <c r="AJ12" s="601" t="s">
        <v>7</v>
      </c>
      <c r="AK12" s="601" t="s">
        <v>8</v>
      </c>
      <c r="AL12" s="601" t="s">
        <v>9</v>
      </c>
      <c r="AM12" s="601"/>
      <c r="AN12" s="601" t="s">
        <v>7</v>
      </c>
      <c r="AO12" s="601" t="s">
        <v>8</v>
      </c>
      <c r="AP12" s="601" t="s">
        <v>9</v>
      </c>
      <c r="AQ12" s="283" t="s">
        <v>22</v>
      </c>
      <c r="AR12" s="193"/>
      <c r="AS12" s="193"/>
      <c r="AT12" s="193"/>
      <c r="AU12" s="193"/>
      <c r="AV12" s="601" t="s">
        <v>15</v>
      </c>
      <c r="AW12" s="601" t="s">
        <v>16</v>
      </c>
      <c r="AX12" s="193"/>
      <c r="AY12" s="601" t="s">
        <v>15</v>
      </c>
      <c r="AZ12" s="601" t="s">
        <v>16</v>
      </c>
      <c r="BA12" s="193"/>
      <c r="BB12" s="283" t="s">
        <v>22</v>
      </c>
      <c r="BC12" s="193"/>
      <c r="BD12" s="193"/>
      <c r="BE12" s="193"/>
      <c r="BF12" s="193"/>
      <c r="BG12" s="193"/>
      <c r="BH12" s="193"/>
      <c r="BI12" s="193"/>
      <c r="BJ12" s="193"/>
      <c r="BK12" s="193"/>
      <c r="BL12" s="193"/>
      <c r="BM12" s="193"/>
      <c r="BN12" s="193"/>
      <c r="BO12" s="193"/>
      <c r="BP12" s="193"/>
      <c r="BQ12" s="193"/>
      <c r="BR12" s="193"/>
      <c r="BS12" s="193"/>
      <c r="BT12" s="193"/>
      <c r="BU12" s="193"/>
      <c r="BV12" s="193"/>
      <c r="BW12" s="193"/>
      <c r="BX12" s="193"/>
      <c r="BY12" s="193"/>
      <c r="BZ12" s="193"/>
      <c r="CA12" s="193"/>
      <c r="CB12" s="193"/>
      <c r="CC12" s="193"/>
      <c r="CD12" s="193"/>
      <c r="CE12" s="193"/>
      <c r="CF12" s="604"/>
      <c r="CG12" s="193"/>
      <c r="CH12" s="193"/>
      <c r="CI12" s="193"/>
      <c r="CJ12" s="193"/>
      <c r="CK12" s="193"/>
      <c r="CL12" s="193"/>
      <c r="CM12" s="193"/>
      <c r="CN12" s="193"/>
      <c r="CO12" s="193"/>
      <c r="CP12" s="193"/>
      <c r="CQ12" s="193"/>
      <c r="CR12" s="193"/>
      <c r="CS12" s="193"/>
      <c r="CT12" s="193"/>
      <c r="CU12" s="193"/>
      <c r="CV12" s="193"/>
      <c r="CW12" s="193"/>
      <c r="CX12" s="193"/>
      <c r="CY12" s="193"/>
      <c r="CZ12" s="193"/>
      <c r="DA12" s="193"/>
      <c r="DB12" s="193"/>
      <c r="DC12" s="193"/>
      <c r="DD12" s="193"/>
      <c r="DE12" s="193"/>
      <c r="DF12" s="534" t="s">
        <v>365</v>
      </c>
      <c r="DG12" s="193"/>
      <c r="DH12" s="193"/>
      <c r="DI12" s="193"/>
      <c r="DJ12" s="193"/>
      <c r="DK12" s="193"/>
      <c r="DL12" s="193"/>
      <c r="DM12" s="193"/>
      <c r="DN12" s="605"/>
      <c r="DO12" s="193"/>
      <c r="DP12" s="535">
        <v>6</v>
      </c>
      <c r="DQ12" s="536" t="s">
        <v>513</v>
      </c>
      <c r="DR12" s="193"/>
      <c r="DS12" s="193"/>
      <c r="DT12" s="537">
        <f>ROUND(CK18,4)</f>
        <v>0.69910000000000005</v>
      </c>
      <c r="DU12" s="538"/>
      <c r="DV12" s="537">
        <f>ROUND(DB22,4)</f>
        <v>0.96009999999999995</v>
      </c>
      <c r="DW12" s="539">
        <f>DG21</f>
        <v>0.71</v>
      </c>
      <c r="DX12" s="540"/>
      <c r="DY12" s="539">
        <f>DI21</f>
        <v>1.21</v>
      </c>
      <c r="DZ12" s="683">
        <f>'CB Item 3'!K12</f>
        <v>1.4255</v>
      </c>
      <c r="EA12" s="193"/>
      <c r="EB12" s="193"/>
      <c r="EC12" s="193"/>
      <c r="ED12" s="193"/>
      <c r="EE12" s="193"/>
      <c r="EF12" s="193"/>
      <c r="EG12" s="193"/>
      <c r="EH12" s="193"/>
      <c r="EI12" s="193"/>
      <c r="EJ12" s="283"/>
      <c r="EK12" s="620"/>
      <c r="EL12" s="193"/>
      <c r="EM12" s="193"/>
      <c r="EN12" s="193"/>
      <c r="EO12" s="193"/>
      <c r="EP12" s="193"/>
      <c r="EQ12" s="193"/>
      <c r="ER12" s="193"/>
      <c r="ES12" s="193"/>
      <c r="ET12" s="193"/>
      <c r="EU12" s="193"/>
    </row>
    <row r="13" spans="1:151" ht="15">
      <c r="A13" s="534" t="s">
        <v>366</v>
      </c>
      <c r="B13" s="193"/>
      <c r="C13" s="193"/>
      <c r="D13" s="193"/>
      <c r="E13" s="193"/>
      <c r="F13" s="193"/>
      <c r="G13" s="193"/>
      <c r="H13" s="193"/>
      <c r="I13" s="193"/>
      <c r="J13" s="193"/>
      <c r="K13" s="193"/>
      <c r="L13" s="193"/>
      <c r="M13" s="193"/>
      <c r="N13" s="193"/>
      <c r="O13" s="534" t="s">
        <v>367</v>
      </c>
      <c r="P13" s="536" t="s">
        <v>368</v>
      </c>
      <c r="Q13" s="193"/>
      <c r="R13" s="193"/>
      <c r="S13" s="534" t="s">
        <v>369</v>
      </c>
      <c r="T13" s="193"/>
      <c r="U13" s="193"/>
      <c r="V13" s="193"/>
      <c r="W13" s="193"/>
      <c r="X13" s="193"/>
      <c r="Y13" s="193"/>
      <c r="Z13" s="775"/>
      <c r="AA13" s="775"/>
      <c r="AB13" s="775"/>
      <c r="AC13" s="775"/>
      <c r="AD13" s="775"/>
      <c r="AE13" s="775"/>
      <c r="AF13" s="193"/>
      <c r="AG13" s="536"/>
      <c r="AH13" s="193"/>
      <c r="AI13" s="606">
        <v>2015</v>
      </c>
      <c r="AJ13" s="607">
        <v>0</v>
      </c>
      <c r="AK13" s="607">
        <v>0</v>
      </c>
      <c r="AL13" s="607">
        <v>28769.44356</v>
      </c>
      <c r="AM13" s="607"/>
      <c r="AN13" s="607">
        <v>0</v>
      </c>
      <c r="AO13" s="607">
        <v>0</v>
      </c>
      <c r="AP13" s="607">
        <v>10340.465489999999</v>
      </c>
      <c r="AQ13" s="608">
        <f>SUM(AJ13:AP13)</f>
        <v>39109.909050000002</v>
      </c>
      <c r="AR13" s="193"/>
      <c r="AS13" s="193"/>
      <c r="AT13" s="193"/>
      <c r="AU13" s="294">
        <f>AI13</f>
        <v>2015</v>
      </c>
      <c r="AV13" s="613">
        <v>6254.2574000000004</v>
      </c>
      <c r="AW13" s="613">
        <v>5451.0981199999997</v>
      </c>
      <c r="AX13" s="614"/>
      <c r="AY13" s="613">
        <v>3052.0647899999999</v>
      </c>
      <c r="AZ13" s="613">
        <v>4045.6748100000004</v>
      </c>
      <c r="BA13" s="283"/>
      <c r="BB13" s="608">
        <f>AV13+AW13+AY13+AZ13</f>
        <v>18803.095120000002</v>
      </c>
      <c r="BC13" s="193"/>
      <c r="BD13" s="193"/>
      <c r="BE13" s="193"/>
      <c r="BF13" s="193"/>
      <c r="BG13" s="193"/>
      <c r="BH13" s="193"/>
      <c r="BI13" s="193"/>
      <c r="BJ13" s="193"/>
      <c r="BK13" s="193"/>
      <c r="BL13" s="193"/>
      <c r="BM13" s="193"/>
      <c r="BN13" s="193"/>
      <c r="BO13" s="193"/>
      <c r="BP13" s="193"/>
      <c r="BQ13" s="193"/>
      <c r="BR13" s="193"/>
      <c r="BS13" s="193"/>
      <c r="BT13" s="193"/>
      <c r="BU13" s="193"/>
      <c r="BV13" s="193"/>
      <c r="BW13" s="193"/>
      <c r="BX13" s="193"/>
      <c r="BY13" s="193"/>
      <c r="BZ13" s="193"/>
      <c r="CA13" s="193"/>
      <c r="CB13" s="193"/>
      <c r="CC13" s="193"/>
      <c r="CD13" s="193"/>
      <c r="CE13" s="609" t="s">
        <v>512</v>
      </c>
      <c r="CF13" s="610"/>
      <c r="CG13" s="610"/>
      <c r="CH13" s="611"/>
      <c r="CI13" s="193"/>
      <c r="CJ13" s="193"/>
      <c r="CK13" s="193"/>
      <c r="CL13" s="193"/>
      <c r="CM13" s="193"/>
      <c r="CN13" s="193"/>
      <c r="CO13" s="193"/>
      <c r="CP13" s="193"/>
      <c r="CQ13" s="193"/>
      <c r="CR13" s="193"/>
      <c r="CS13" s="193"/>
      <c r="CT13" s="193"/>
      <c r="CU13" s="193"/>
      <c r="CV13" s="193"/>
      <c r="CW13" s="193"/>
      <c r="CX13" s="193"/>
      <c r="CY13" s="193"/>
      <c r="CZ13" s="193"/>
      <c r="DA13" s="193"/>
      <c r="DB13" s="193"/>
      <c r="DC13" s="193"/>
      <c r="DD13" s="193"/>
      <c r="DE13" s="193"/>
      <c r="DF13" s="193"/>
      <c r="DG13" s="193"/>
      <c r="DH13" s="193"/>
      <c r="DI13" s="193"/>
      <c r="DJ13" s="193"/>
      <c r="DK13" s="193"/>
      <c r="DL13" s="193"/>
      <c r="DM13" s="193"/>
      <c r="DN13" s="605"/>
      <c r="DO13" s="193"/>
      <c r="DP13" s="535"/>
      <c r="DQ13" s="536"/>
      <c r="DR13" s="193"/>
      <c r="DS13" s="193"/>
      <c r="DT13" s="537"/>
      <c r="DU13" s="538"/>
      <c r="DV13" s="537"/>
      <c r="DW13" s="539"/>
      <c r="DX13" s="540"/>
      <c r="DY13" s="539"/>
      <c r="DZ13" s="541"/>
      <c r="EA13" s="193"/>
      <c r="EB13" s="193"/>
      <c r="EC13" s="193"/>
      <c r="ED13" s="193"/>
      <c r="EE13" s="536" t="s">
        <v>393</v>
      </c>
      <c r="EF13" s="193"/>
      <c r="EG13" s="193"/>
      <c r="EH13" s="193"/>
      <c r="EI13" s="193"/>
      <c r="EJ13" s="694">
        <v>1.0346</v>
      </c>
      <c r="EK13" s="620"/>
      <c r="EL13" s="193"/>
      <c r="EM13" s="193"/>
      <c r="EN13" s="193"/>
      <c r="EO13" s="193"/>
      <c r="EP13" s="193"/>
      <c r="EQ13" s="193"/>
      <c r="ER13" s="193"/>
      <c r="ES13" s="193"/>
      <c r="ET13" s="193"/>
      <c r="EU13" s="193"/>
    </row>
    <row r="14" spans="1:151" ht="15">
      <c r="A14" s="534" t="s">
        <v>371</v>
      </c>
      <c r="B14" s="193"/>
      <c r="C14" s="193"/>
      <c r="D14" s="193"/>
      <c r="E14" s="193"/>
      <c r="F14" s="193"/>
      <c r="G14" s="193"/>
      <c r="H14" s="193"/>
      <c r="I14" s="193"/>
      <c r="J14" s="193"/>
      <c r="K14" s="193"/>
      <c r="L14" s="193"/>
      <c r="M14" s="193"/>
      <c r="N14" s="193"/>
      <c r="O14" s="193"/>
      <c r="P14" s="193"/>
      <c r="Q14" s="193"/>
      <c r="R14" s="193"/>
      <c r="S14" s="534" t="s">
        <v>372</v>
      </c>
      <c r="T14" s="193"/>
      <c r="U14" s="193"/>
      <c r="V14" s="193"/>
      <c r="W14" s="193"/>
      <c r="X14" s="193"/>
      <c r="Y14" s="193"/>
      <c r="Z14" s="775"/>
      <c r="AA14" s="775"/>
      <c r="AB14" s="775"/>
      <c r="AC14" s="775"/>
      <c r="AD14" s="775"/>
      <c r="AE14" s="775"/>
      <c r="AF14" s="193"/>
      <c r="AG14" s="536"/>
      <c r="AH14" s="193"/>
      <c r="AI14" s="612">
        <f>AI13+1</f>
        <v>2016</v>
      </c>
      <c r="AJ14" s="607">
        <v>0</v>
      </c>
      <c r="AK14" s="607">
        <v>0</v>
      </c>
      <c r="AL14" s="607">
        <v>8489.8850676600014</v>
      </c>
      <c r="AM14" s="607"/>
      <c r="AN14" s="607">
        <v>0</v>
      </c>
      <c r="AO14" s="607">
        <v>0</v>
      </c>
      <c r="AP14" s="607">
        <v>1761.5681331599999</v>
      </c>
      <c r="AQ14" s="608">
        <f>SUM(AJ14:AP14)</f>
        <v>10251.45320082</v>
      </c>
      <c r="AR14" s="193"/>
      <c r="AS14" s="193"/>
      <c r="AT14" s="193"/>
      <c r="AU14" s="294">
        <f>AI14</f>
        <v>2016</v>
      </c>
      <c r="AV14" s="613">
        <v>8135.1666319200003</v>
      </c>
      <c r="AW14" s="613">
        <v>15012.0623502</v>
      </c>
      <c r="AX14" s="614"/>
      <c r="AY14" s="613">
        <v>2146.4571829200004</v>
      </c>
      <c r="AZ14" s="613">
        <v>7748.5583205480007</v>
      </c>
      <c r="BA14" s="283"/>
      <c r="BB14" s="608">
        <f>AV14+AW14+AY14+AZ14</f>
        <v>33042.244485588002</v>
      </c>
      <c r="BC14" s="193"/>
      <c r="BD14" s="193"/>
      <c r="BE14" s="193"/>
      <c r="BF14" s="193"/>
      <c r="BG14" s="193"/>
      <c r="BH14" s="193"/>
      <c r="BI14" s="193"/>
      <c r="BJ14" s="193"/>
      <c r="BK14" s="193"/>
      <c r="BL14" s="193"/>
      <c r="BM14" s="193"/>
      <c r="BN14" s="193"/>
      <c r="BO14" s="193"/>
      <c r="BP14" s="193"/>
      <c r="BQ14" s="193"/>
      <c r="BR14" s="193"/>
      <c r="BS14" s="193"/>
      <c r="BT14" s="193"/>
      <c r="BU14" s="193"/>
      <c r="BV14" s="222" t="s">
        <v>379</v>
      </c>
      <c r="BW14" s="201"/>
      <c r="BX14" s="201"/>
      <c r="BY14" s="201"/>
      <c r="BZ14" s="201"/>
      <c r="CA14" s="193"/>
      <c r="CB14" s="193"/>
      <c r="CC14" s="193"/>
      <c r="CD14" s="193"/>
      <c r="CE14" s="193"/>
      <c r="CF14" s="193"/>
      <c r="CG14" s="193"/>
      <c r="CH14" s="193"/>
      <c r="CI14" s="193"/>
      <c r="CJ14" s="193"/>
      <c r="CK14" s="193"/>
      <c r="CL14" s="193"/>
      <c r="CM14" s="193"/>
      <c r="CN14" s="193"/>
      <c r="CO14" s="193"/>
      <c r="CP14" s="193"/>
      <c r="CQ14" s="193"/>
      <c r="CR14" s="193"/>
      <c r="CS14" s="193"/>
      <c r="CT14" s="193"/>
      <c r="CU14" s="193"/>
      <c r="CV14" s="193"/>
      <c r="CW14" s="193"/>
      <c r="CX14" s="193"/>
      <c r="CY14" s="193"/>
      <c r="CZ14" s="193"/>
      <c r="DA14" s="193"/>
      <c r="DB14" s="193"/>
      <c r="DC14" s="193"/>
      <c r="DD14" s="193"/>
      <c r="DE14" s="193"/>
      <c r="DF14" s="193"/>
      <c r="DG14" s="193"/>
      <c r="DH14" s="595"/>
      <c r="DI14" s="193"/>
      <c r="DJ14" s="193"/>
      <c r="DK14" s="193"/>
      <c r="DL14" s="193"/>
      <c r="DM14" s="193"/>
      <c r="DN14" s="605"/>
      <c r="DO14" s="193"/>
      <c r="DP14" s="535"/>
      <c r="DQ14" s="536"/>
      <c r="DR14" s="193"/>
      <c r="DS14" s="193"/>
      <c r="DT14" s="537"/>
      <c r="DU14" s="538"/>
      <c r="DV14" s="537"/>
      <c r="DW14" s="539"/>
      <c r="DX14" s="540"/>
      <c r="DY14" s="539"/>
      <c r="DZ14" s="541"/>
      <c r="EA14" s="193"/>
      <c r="EB14" s="193"/>
      <c r="EC14" s="193"/>
      <c r="ED14" s="193"/>
      <c r="EE14" s="534"/>
      <c r="EF14" s="193"/>
      <c r="EG14" s="193"/>
      <c r="EH14" s="193"/>
      <c r="EI14" s="193"/>
      <c r="EJ14" s="283"/>
      <c r="EK14" s="620"/>
      <c r="EL14" s="193"/>
      <c r="EM14" s="193"/>
      <c r="EN14" s="193"/>
      <c r="EO14" s="193"/>
      <c r="EP14" s="193"/>
      <c r="EQ14" s="193"/>
      <c r="ER14" s="193"/>
      <c r="ES14" s="193"/>
      <c r="ET14" s="193"/>
      <c r="EU14" s="193"/>
    </row>
    <row r="15" spans="1:151" ht="15">
      <c r="A15" s="534" t="s">
        <v>373</v>
      </c>
      <c r="B15" s="193"/>
      <c r="C15" s="193"/>
      <c r="D15" s="193"/>
      <c r="E15" s="193"/>
      <c r="F15" s="193"/>
      <c r="G15" s="193"/>
      <c r="H15" s="193"/>
      <c r="I15" s="193"/>
      <c r="J15" s="193"/>
      <c r="K15" s="193"/>
      <c r="L15" s="193"/>
      <c r="M15" s="193"/>
      <c r="N15" s="193"/>
      <c r="O15" s="193"/>
      <c r="P15" s="193"/>
      <c r="Q15" s="193"/>
      <c r="R15" s="193"/>
      <c r="S15" s="534" t="s">
        <v>374</v>
      </c>
      <c r="T15" s="193"/>
      <c r="U15" s="193"/>
      <c r="V15" s="193"/>
      <c r="W15" s="193"/>
      <c r="X15" s="193"/>
      <c r="Y15" s="193"/>
      <c r="Z15" s="775"/>
      <c r="AA15" s="775"/>
      <c r="AB15" s="775"/>
      <c r="AC15" s="775"/>
      <c r="AD15" s="775"/>
      <c r="AE15" s="775"/>
      <c r="AF15" s="193"/>
      <c r="AG15" s="193"/>
      <c r="AH15" s="193"/>
      <c r="AI15" s="612">
        <f>AI14+1</f>
        <v>2017</v>
      </c>
      <c r="AJ15" s="607">
        <v>0</v>
      </c>
      <c r="AK15" s="607">
        <v>0</v>
      </c>
      <c r="AL15" s="607">
        <v>32249.693183519998</v>
      </c>
      <c r="AM15" s="607"/>
      <c r="AN15" s="607">
        <v>0</v>
      </c>
      <c r="AO15" s="607">
        <v>0</v>
      </c>
      <c r="AP15" s="607">
        <v>18262.454522715001</v>
      </c>
      <c r="AQ15" s="608">
        <f>SUM(AJ15:AP15)</f>
        <v>50512.147706235002</v>
      </c>
      <c r="AR15" s="193"/>
      <c r="AS15" s="193"/>
      <c r="AT15" s="193"/>
      <c r="AU15" s="294">
        <f>AI15</f>
        <v>2017</v>
      </c>
      <c r="AV15" s="613">
        <v>4719.0365318599997</v>
      </c>
      <c r="AW15" s="613">
        <v>7766.8561380680003</v>
      </c>
      <c r="AX15" s="614"/>
      <c r="AY15" s="613">
        <v>2455.06874217</v>
      </c>
      <c r="AZ15" s="613">
        <v>2909.9694719130002</v>
      </c>
      <c r="BA15" s="283"/>
      <c r="BB15" s="608">
        <f>AV15+AW15+AY15+AZ15</f>
        <v>17850.930884011002</v>
      </c>
      <c r="BC15" s="193"/>
      <c r="BD15" s="193"/>
      <c r="BE15" s="193"/>
      <c r="BF15" s="193"/>
      <c r="BG15" s="283"/>
      <c r="BH15" s="283"/>
      <c r="BI15" s="283"/>
      <c r="BJ15" s="283"/>
      <c r="BK15" s="283"/>
      <c r="BL15" s="601" t="s">
        <v>375</v>
      </c>
      <c r="BM15" s="601" t="s">
        <v>376</v>
      </c>
      <c r="BN15" s="283"/>
      <c r="BO15" s="193"/>
      <c r="BP15" s="193"/>
      <c r="BQ15" s="193"/>
      <c r="BR15" s="193"/>
      <c r="BS15" s="193"/>
      <c r="BT15" s="619"/>
      <c r="BU15" s="619"/>
      <c r="BV15" s="619"/>
      <c r="BW15" s="619"/>
      <c r="BX15" s="619"/>
      <c r="BY15" s="619"/>
      <c r="BZ15" s="619"/>
      <c r="CA15" s="193"/>
      <c r="CB15" s="193"/>
      <c r="CC15" s="193"/>
      <c r="CD15" s="193"/>
      <c r="CE15" s="534" t="s">
        <v>530</v>
      </c>
      <c r="CF15" s="615"/>
      <c r="CG15" s="616"/>
      <c r="CH15" s="616"/>
      <c r="CI15" s="616"/>
      <c r="CJ15" s="616"/>
      <c r="CK15" s="616"/>
      <c r="CL15" s="616"/>
      <c r="CM15" s="193"/>
      <c r="CN15" s="193"/>
      <c r="CO15" s="193"/>
      <c r="CP15" s="534" t="s">
        <v>459</v>
      </c>
      <c r="CQ15" s="193"/>
      <c r="CR15" s="193"/>
      <c r="CS15" s="193"/>
      <c r="CT15" s="193"/>
      <c r="CU15" s="193"/>
      <c r="CV15" s="193"/>
      <c r="CW15" s="193"/>
      <c r="CX15" s="193"/>
      <c r="CY15" s="193"/>
      <c r="CZ15" s="193"/>
      <c r="DA15" s="193"/>
      <c r="DB15" s="193"/>
      <c r="DC15" s="193"/>
      <c r="DD15" s="193"/>
      <c r="DE15" s="193"/>
      <c r="DF15" s="193"/>
      <c r="DG15" s="193"/>
      <c r="DH15" s="193"/>
      <c r="DI15" s="193"/>
      <c r="DJ15" s="193"/>
      <c r="DK15" s="193"/>
      <c r="DL15" s="193"/>
      <c r="DM15" s="193"/>
      <c r="DN15" s="605"/>
      <c r="DO15" s="193"/>
      <c r="DP15" s="193"/>
      <c r="DQ15" s="193"/>
      <c r="DR15" s="193"/>
      <c r="DS15" s="193"/>
      <c r="DT15" s="193"/>
      <c r="DU15" s="193"/>
      <c r="DV15" s="193"/>
      <c r="DW15" s="617"/>
      <c r="DX15" s="193"/>
      <c r="DY15" s="617"/>
      <c r="DZ15" s="193"/>
      <c r="EA15" s="193"/>
      <c r="EB15" s="193"/>
      <c r="EC15" s="193"/>
      <c r="ED15" s="193"/>
      <c r="EE15" s="534" t="str">
        <f>"(3) Expense Provision  ( =  1 / "&amp;TEXT(CX22,"0.0000"&amp;"  )")</f>
        <v>(3) Expense Provision  ( =  1 / 0.7227  )</v>
      </c>
      <c r="EF15" s="193"/>
      <c r="EG15" s="193"/>
      <c r="EH15" s="193"/>
      <c r="EI15" s="193"/>
      <c r="EJ15" s="538">
        <f>ROUND(1/CX22,4)</f>
        <v>1.3836999999999999</v>
      </c>
      <c r="EK15" s="620"/>
      <c r="EL15" s="193"/>
      <c r="EM15" s="193"/>
      <c r="EN15" s="193"/>
      <c r="EO15" s="193"/>
      <c r="EP15" s="193"/>
      <c r="EQ15" s="193"/>
      <c r="ER15" s="193"/>
      <c r="ES15" s="193"/>
      <c r="ET15" s="193"/>
      <c r="EU15" s="193"/>
    </row>
    <row r="16" spans="1:151" ht="15">
      <c r="A16" s="193"/>
      <c r="B16" s="193"/>
      <c r="C16" s="193"/>
      <c r="D16" s="193"/>
      <c r="E16" s="193"/>
      <c r="F16" s="193"/>
      <c r="G16" s="193"/>
      <c r="H16" s="193"/>
      <c r="I16" s="193"/>
      <c r="J16" s="193"/>
      <c r="K16" s="193"/>
      <c r="L16" s="193"/>
      <c r="M16" s="193"/>
      <c r="N16" s="193"/>
      <c r="O16" s="193"/>
      <c r="P16" s="193"/>
      <c r="Q16" s="193"/>
      <c r="R16" s="193"/>
      <c r="S16" s="193"/>
      <c r="T16" s="193"/>
      <c r="U16" s="193"/>
      <c r="V16" s="193"/>
      <c r="W16" s="193"/>
      <c r="X16" s="193"/>
      <c r="Y16" s="193"/>
      <c r="Z16" s="775"/>
      <c r="AA16" s="775"/>
      <c r="AB16" s="775"/>
      <c r="AC16" s="775"/>
      <c r="AD16" s="775"/>
      <c r="AE16" s="775"/>
      <c r="AF16" s="193"/>
      <c r="AG16" s="193"/>
      <c r="AH16" s="193"/>
      <c r="AI16" s="612">
        <f>AI15+1</f>
        <v>2018</v>
      </c>
      <c r="AJ16" s="607">
        <v>0</v>
      </c>
      <c r="AK16" s="607">
        <v>0</v>
      </c>
      <c r="AL16" s="607">
        <v>0</v>
      </c>
      <c r="AM16" s="607"/>
      <c r="AN16" s="607">
        <v>0</v>
      </c>
      <c r="AO16" s="607">
        <v>0</v>
      </c>
      <c r="AP16" s="607">
        <v>0</v>
      </c>
      <c r="AQ16" s="608">
        <f>SUM(AJ16:AP16)</f>
        <v>0</v>
      </c>
      <c r="AR16" s="193"/>
      <c r="AS16" s="193"/>
      <c r="AT16" s="193"/>
      <c r="AU16" s="294">
        <f>AI16</f>
        <v>2018</v>
      </c>
      <c r="AV16" s="613">
        <v>6142.4075822240002</v>
      </c>
      <c r="AW16" s="613">
        <v>7976.2624604199991</v>
      </c>
      <c r="AX16" s="614"/>
      <c r="AY16" s="613">
        <v>1760.0826158309999</v>
      </c>
      <c r="AZ16" s="613">
        <v>4929.1502459940002</v>
      </c>
      <c r="BA16" s="283"/>
      <c r="BB16" s="608">
        <f>AV16+AW16+AY16+AZ16</f>
        <v>20807.902904469</v>
      </c>
      <c r="BC16" s="193"/>
      <c r="BD16" s="193"/>
      <c r="BE16" s="193"/>
      <c r="BF16" s="193"/>
      <c r="BG16" s="283"/>
      <c r="BH16" s="283"/>
      <c r="BI16" s="283"/>
      <c r="BJ16" s="283"/>
      <c r="BK16" s="601" t="s">
        <v>377</v>
      </c>
      <c r="BL16" s="283" t="s">
        <v>378</v>
      </c>
      <c r="BM16" s="601" t="s">
        <v>99</v>
      </c>
      <c r="BN16" s="283"/>
      <c r="BO16" s="193"/>
      <c r="BP16" s="193"/>
      <c r="BQ16" s="193"/>
      <c r="BR16" s="193"/>
      <c r="BS16" s="193"/>
      <c r="BT16" s="536"/>
      <c r="BU16" s="193"/>
      <c r="BV16" s="193"/>
      <c r="BW16" s="193"/>
      <c r="BX16" s="193"/>
      <c r="BY16" s="193"/>
      <c r="BZ16" s="193"/>
      <c r="CA16" s="193"/>
      <c r="CB16" s="193"/>
      <c r="CC16" s="193"/>
      <c r="CD16" s="193"/>
      <c r="CE16" s="193"/>
      <c r="CF16" s="222" t="s">
        <v>531</v>
      </c>
      <c r="CG16" s="201"/>
      <c r="CH16" s="201"/>
      <c r="CI16" s="201"/>
      <c r="CJ16" s="201"/>
      <c r="CK16" s="201"/>
      <c r="CL16" s="193"/>
      <c r="CM16" s="193"/>
      <c r="CN16" s="193"/>
      <c r="CO16" s="193"/>
      <c r="CP16" s="534" t="s">
        <v>380</v>
      </c>
      <c r="CR16" s="193"/>
      <c r="CS16" s="193"/>
      <c r="CT16" s="193"/>
      <c r="CU16" s="193"/>
      <c r="CV16" s="193"/>
      <c r="CW16" s="193"/>
      <c r="CX16" s="193"/>
      <c r="CY16" s="193"/>
      <c r="CZ16" s="193"/>
      <c r="DA16" s="193"/>
      <c r="DB16" s="193"/>
      <c r="DC16" s="193"/>
      <c r="DD16" s="193"/>
      <c r="DE16" s="193"/>
      <c r="DF16" s="193"/>
      <c r="DG16" s="193"/>
      <c r="DH16" s="193"/>
      <c r="DI16" s="193"/>
      <c r="DJ16" s="193"/>
      <c r="DK16" s="193"/>
      <c r="DL16" s="193"/>
      <c r="DM16" s="193"/>
      <c r="DN16" s="193"/>
      <c r="DO16" s="193"/>
      <c r="DP16" s="193"/>
      <c r="DQ16" s="193"/>
      <c r="DR16" s="193"/>
      <c r="DS16" s="193"/>
      <c r="DT16" s="193"/>
      <c r="DU16" s="193"/>
      <c r="DV16" s="193"/>
      <c r="DW16" s="193"/>
      <c r="DX16" s="193"/>
      <c r="DY16" s="193"/>
      <c r="DZ16" s="193"/>
      <c r="EA16" s="193"/>
      <c r="EB16" s="193"/>
      <c r="EC16" s="193"/>
      <c r="ED16" s="193"/>
      <c r="EE16" s="193"/>
      <c r="EF16" s="193"/>
      <c r="EG16" s="193"/>
      <c r="EH16" s="193"/>
      <c r="EI16" s="193"/>
      <c r="EJ16" s="283"/>
      <c r="EK16" s="620"/>
      <c r="EL16" s="193"/>
      <c r="EM16" s="193"/>
      <c r="EN16" s="193"/>
      <c r="EO16" s="193"/>
      <c r="EP16" s="193"/>
      <c r="EQ16" s="193"/>
      <c r="ER16" s="193"/>
      <c r="ES16" s="193"/>
      <c r="ET16" s="193"/>
      <c r="EU16" s="193"/>
    </row>
    <row r="17" spans="1:151" ht="15">
      <c r="A17" s="222" t="s">
        <v>382</v>
      </c>
      <c r="B17" s="201"/>
      <c r="C17" s="201"/>
      <c r="D17" s="201"/>
      <c r="E17" s="201"/>
      <c r="F17" s="201"/>
      <c r="G17" s="201"/>
      <c r="H17" s="201"/>
      <c r="I17" s="193"/>
      <c r="J17" s="193"/>
      <c r="K17" s="193"/>
      <c r="L17" s="193"/>
      <c r="M17" s="193"/>
      <c r="N17" s="193"/>
      <c r="O17" s="193"/>
      <c r="P17" s="193"/>
      <c r="Q17" s="193"/>
      <c r="R17" s="193"/>
      <c r="S17" s="193"/>
      <c r="T17" s="193"/>
      <c r="U17" s="193"/>
      <c r="V17" s="193"/>
      <c r="W17" s="193"/>
      <c r="X17" s="193"/>
      <c r="Y17" s="193"/>
      <c r="Z17" s="775"/>
      <c r="AA17" s="775"/>
      <c r="AB17" s="775"/>
      <c r="AC17" s="775"/>
      <c r="AD17" s="775"/>
      <c r="AE17" s="775"/>
      <c r="AF17" s="193"/>
      <c r="AG17" s="193"/>
      <c r="AH17" s="193"/>
      <c r="AI17" s="612">
        <f>AI16+1</f>
        <v>2019</v>
      </c>
      <c r="AJ17" s="607">
        <v>0</v>
      </c>
      <c r="AK17" s="607">
        <v>0</v>
      </c>
      <c r="AL17" s="607">
        <v>6983.7335380279992</v>
      </c>
      <c r="AM17" s="607"/>
      <c r="AN17" s="607">
        <v>0</v>
      </c>
      <c r="AO17" s="607">
        <v>0</v>
      </c>
      <c r="AP17" s="607">
        <v>2625.4542389759999</v>
      </c>
      <c r="AQ17" s="608">
        <f>SUM(AJ17:AP17)</f>
        <v>9609.1877770039991</v>
      </c>
      <c r="AR17" s="193"/>
      <c r="AS17" s="193"/>
      <c r="AT17" s="193"/>
      <c r="AU17" s="294">
        <f>AI17</f>
        <v>2019</v>
      </c>
      <c r="AV17" s="613">
        <v>12468.399262716001</v>
      </c>
      <c r="AW17" s="613">
        <v>7718.9649168880014</v>
      </c>
      <c r="AX17" s="614"/>
      <c r="AY17" s="613">
        <v>3112.067891829</v>
      </c>
      <c r="AZ17" s="613">
        <v>5372.0190104189996</v>
      </c>
      <c r="BA17" s="283"/>
      <c r="BB17" s="608">
        <f>AV17+AW17+AY17+AZ17</f>
        <v>28671.451081852003</v>
      </c>
      <c r="BC17" s="193"/>
      <c r="BD17" s="193"/>
      <c r="BE17" s="193"/>
      <c r="BF17" s="193"/>
      <c r="BG17" s="601" t="s">
        <v>383</v>
      </c>
      <c r="BH17" s="601" t="s">
        <v>384</v>
      </c>
      <c r="BI17" s="601" t="s">
        <v>385</v>
      </c>
      <c r="BJ17" s="601" t="s">
        <v>386</v>
      </c>
      <c r="BK17" s="601" t="s">
        <v>99</v>
      </c>
      <c r="BL17" s="601" t="s">
        <v>387</v>
      </c>
      <c r="BM17" s="601" t="s">
        <v>388</v>
      </c>
      <c r="BN17" s="283"/>
      <c r="BO17" s="193"/>
      <c r="BP17" s="193"/>
      <c r="BQ17" s="193"/>
      <c r="BR17" s="193"/>
      <c r="BS17" s="193"/>
      <c r="BT17" s="601" t="s">
        <v>116</v>
      </c>
      <c r="BU17" s="283"/>
      <c r="BV17" s="601" t="s">
        <v>31</v>
      </c>
      <c r="BW17" s="193"/>
      <c r="BX17" s="601" t="s">
        <v>119</v>
      </c>
      <c r="BY17" s="193"/>
      <c r="BZ17" s="601" t="s">
        <v>87</v>
      </c>
      <c r="CA17" s="193"/>
      <c r="CB17" s="193"/>
      <c r="CC17" s="193"/>
      <c r="CD17" s="193"/>
      <c r="CE17" s="193"/>
      <c r="CF17" s="534"/>
      <c r="CG17" s="193"/>
      <c r="CH17" s="193"/>
      <c r="CI17" s="193"/>
      <c r="CJ17" s="193"/>
      <c r="CK17" s="193"/>
      <c r="CL17" s="193"/>
      <c r="CM17" s="193"/>
      <c r="CN17" s="193"/>
      <c r="CO17" s="193"/>
      <c r="CP17" s="193"/>
      <c r="CQ17" s="616"/>
      <c r="CR17" s="193"/>
      <c r="CS17" s="193"/>
      <c r="CT17" s="193"/>
      <c r="CU17" s="193"/>
      <c r="CV17" s="193"/>
      <c r="CW17" s="193"/>
      <c r="CX17" s="193"/>
      <c r="CY17" s="193"/>
      <c r="CZ17" s="193"/>
      <c r="DA17" s="193"/>
      <c r="DB17" s="193"/>
      <c r="DC17" s="193"/>
      <c r="DD17" s="193"/>
      <c r="DE17" s="193"/>
      <c r="DF17" s="193"/>
      <c r="DG17" s="193"/>
      <c r="DH17" s="193"/>
      <c r="DI17" s="193"/>
      <c r="DJ17" s="193"/>
      <c r="DK17" s="193"/>
      <c r="DL17" s="193"/>
      <c r="DM17" s="193"/>
      <c r="DN17" s="193"/>
      <c r="DO17" s="193"/>
      <c r="DP17" s="193"/>
      <c r="DQ17" s="193"/>
      <c r="DR17" s="601" t="s">
        <v>102</v>
      </c>
      <c r="DS17" s="283"/>
      <c r="DT17" s="601" t="s">
        <v>103</v>
      </c>
      <c r="DU17" s="283"/>
      <c r="DV17" s="283"/>
      <c r="DW17" s="601" t="s">
        <v>104</v>
      </c>
      <c r="DX17" s="193"/>
      <c r="DY17" s="193"/>
      <c r="DZ17" s="193"/>
      <c r="EA17" s="193"/>
      <c r="EB17" s="193"/>
      <c r="EC17" s="193"/>
      <c r="ED17" s="193"/>
      <c r="EE17" s="536" t="s">
        <v>586</v>
      </c>
      <c r="EF17" s="193"/>
      <c r="EG17" s="193"/>
      <c r="EH17" s="193"/>
      <c r="EI17" s="193"/>
      <c r="EJ17" s="538">
        <f>EJ19/(EJ11*EJ13*EJ15)</f>
        <v>0.99755130499357458</v>
      </c>
      <c r="EK17" s="620"/>
      <c r="EL17" s="193"/>
      <c r="EM17" s="193"/>
      <c r="EN17" s="193"/>
      <c r="EO17" s="193"/>
      <c r="EP17" s="193"/>
      <c r="EQ17" s="193"/>
      <c r="ER17" s="193"/>
      <c r="ES17" s="193"/>
      <c r="ET17" s="193"/>
      <c r="EU17" s="193"/>
    </row>
    <row r="18" spans="1:151" ht="15">
      <c r="A18" s="193"/>
      <c r="B18" s="193"/>
      <c r="C18" s="193"/>
      <c r="D18" s="193"/>
      <c r="E18" s="193"/>
      <c r="F18" s="193"/>
      <c r="G18" s="193"/>
      <c r="H18" s="193"/>
      <c r="I18" s="193"/>
      <c r="J18" s="193"/>
      <c r="K18" s="193"/>
      <c r="L18" s="193"/>
      <c r="M18" s="193"/>
      <c r="N18" s="193"/>
      <c r="O18" s="193"/>
      <c r="P18" s="193"/>
      <c r="Q18" s="193"/>
      <c r="R18" s="193"/>
      <c r="S18" s="193"/>
      <c r="T18" s="193"/>
      <c r="U18" s="193"/>
      <c r="V18" s="193"/>
      <c r="W18" s="193"/>
      <c r="X18" s="193"/>
      <c r="Y18" s="193"/>
      <c r="Z18" s="775"/>
      <c r="AA18" s="775"/>
      <c r="AB18" s="775"/>
      <c r="AC18" s="775"/>
      <c r="AD18" s="775"/>
      <c r="AE18" s="775"/>
      <c r="AF18" s="193"/>
      <c r="AG18" s="193"/>
      <c r="AH18" s="193"/>
      <c r="AI18" s="294"/>
      <c r="AJ18" s="292"/>
      <c r="AK18" s="292"/>
      <c r="AL18" s="292"/>
      <c r="AM18" s="292"/>
      <c r="AN18" s="292"/>
      <c r="AO18" s="292"/>
      <c r="AP18" s="292"/>
      <c r="AQ18" s="292"/>
      <c r="AR18" s="193"/>
      <c r="AS18" s="193"/>
      <c r="AT18" s="193"/>
      <c r="AU18" s="292"/>
      <c r="AV18" s="292"/>
      <c r="AW18" s="292"/>
      <c r="AX18" s="292"/>
      <c r="AY18" s="292"/>
      <c r="AZ18" s="292"/>
      <c r="BA18" s="193"/>
      <c r="BB18" s="193"/>
      <c r="BC18" s="193"/>
      <c r="BD18" s="193"/>
      <c r="BE18" s="193"/>
      <c r="BF18" s="193"/>
      <c r="BG18" s="601" t="s">
        <v>389</v>
      </c>
      <c r="BH18" s="601" t="s">
        <v>23</v>
      </c>
      <c r="BI18" s="601" t="s">
        <v>24</v>
      </c>
      <c r="BJ18" s="601" t="s">
        <v>25</v>
      </c>
      <c r="BK18" s="601" t="s">
        <v>390</v>
      </c>
      <c r="BL18" s="601" t="s">
        <v>391</v>
      </c>
      <c r="BM18" s="601" t="s">
        <v>392</v>
      </c>
      <c r="BN18" s="283"/>
      <c r="BO18" s="193"/>
      <c r="BP18" s="193"/>
      <c r="BQ18" s="193"/>
      <c r="BR18" s="193"/>
      <c r="BS18" s="193"/>
      <c r="BT18" s="601" t="s">
        <v>118</v>
      </c>
      <c r="BU18" s="283"/>
      <c r="BV18" s="601" t="s">
        <v>398</v>
      </c>
      <c r="BW18" s="193"/>
      <c r="BX18" s="283" t="s">
        <v>398</v>
      </c>
      <c r="BY18" s="193"/>
      <c r="BZ18" s="601" t="s">
        <v>120</v>
      </c>
      <c r="CA18" s="193"/>
      <c r="CB18" s="193"/>
      <c r="CC18" s="193"/>
      <c r="CD18" s="193"/>
      <c r="CE18" s="193"/>
      <c r="CF18" s="534" t="s">
        <v>511</v>
      </c>
      <c r="CG18" s="193"/>
      <c r="CH18" s="635">
        <v>0.71889999999999998</v>
      </c>
      <c r="CI18" s="193"/>
      <c r="CJ18" s="636" t="s">
        <v>152</v>
      </c>
      <c r="CK18" s="637">
        <f>ROUND(CH18/CH19,4)</f>
        <v>0.69910000000000005</v>
      </c>
      <c r="CL18" s="536"/>
      <c r="CM18" s="193"/>
      <c r="CN18" s="193"/>
      <c r="CO18" s="193"/>
      <c r="CP18" s="193"/>
      <c r="CQ18" s="193"/>
      <c r="CR18" s="193"/>
      <c r="CS18" s="193"/>
      <c r="CT18" s="193"/>
      <c r="CU18" s="193"/>
      <c r="CV18" s="193"/>
      <c r="CW18" s="193"/>
      <c r="CX18" s="193"/>
      <c r="CY18" s="193"/>
      <c r="CZ18" s="193"/>
      <c r="DA18" s="193"/>
      <c r="DB18" s="193"/>
      <c r="DC18" s="193"/>
      <c r="DD18" s="193"/>
      <c r="DL18" s="193"/>
      <c r="DM18" s="193"/>
      <c r="DN18" s="193"/>
      <c r="DO18" s="193"/>
      <c r="DP18" s="193"/>
      <c r="DQ18" s="193"/>
      <c r="DR18" s="601" t="s">
        <v>105</v>
      </c>
      <c r="DS18" s="283"/>
      <c r="DT18" s="601" t="s">
        <v>106</v>
      </c>
      <c r="DU18" s="283"/>
      <c r="DV18" s="283"/>
      <c r="DW18" s="601" t="s">
        <v>106</v>
      </c>
      <c r="DX18" s="193"/>
      <c r="DY18" s="193"/>
      <c r="DZ18" s="193"/>
      <c r="EA18" s="193"/>
      <c r="EB18" s="193"/>
      <c r="EC18" s="193"/>
      <c r="ED18" s="193"/>
      <c r="EE18" s="193"/>
      <c r="EF18" s="193"/>
      <c r="EG18" s="193"/>
      <c r="EH18" s="193"/>
      <c r="EI18" s="193"/>
      <c r="EJ18" s="283"/>
      <c r="EK18" s="620"/>
      <c r="EL18" s="193"/>
      <c r="EM18" s="193"/>
      <c r="EN18" s="193"/>
      <c r="EO18" s="193"/>
      <c r="EP18" s="193"/>
      <c r="EQ18" s="193"/>
      <c r="ER18" s="193"/>
      <c r="ES18" s="193"/>
      <c r="ET18" s="193"/>
      <c r="EU18" s="193"/>
    </row>
    <row r="19" spans="1:151" ht="15">
      <c r="A19" s="193"/>
      <c r="B19" s="193"/>
      <c r="C19" s="193"/>
      <c r="D19" s="193"/>
      <c r="E19" s="193"/>
      <c r="F19" s="193"/>
      <c r="G19" s="193"/>
      <c r="H19" s="601" t="s">
        <v>394</v>
      </c>
      <c r="I19" s="536" t="s">
        <v>328</v>
      </c>
      <c r="J19" s="536" t="s">
        <v>322</v>
      </c>
      <c r="K19" s="193"/>
      <c r="L19" s="193"/>
      <c r="M19" s="193"/>
      <c r="N19" s="193"/>
      <c r="O19" s="193"/>
      <c r="P19" s="193"/>
      <c r="Q19" s="193"/>
      <c r="R19" s="193"/>
      <c r="S19" s="193"/>
      <c r="T19" s="193"/>
      <c r="U19" s="193"/>
      <c r="V19" s="193"/>
      <c r="W19" s="193"/>
      <c r="X19" s="193"/>
      <c r="Y19" s="193"/>
      <c r="Z19" s="775"/>
      <c r="AA19" s="775"/>
      <c r="AB19" s="775"/>
      <c r="AC19" s="775"/>
      <c r="AD19" s="775"/>
      <c r="AE19" s="775"/>
      <c r="AF19" s="193"/>
      <c r="AG19" s="193"/>
      <c r="AH19" s="193"/>
      <c r="AI19" s="294"/>
      <c r="AJ19" s="292"/>
      <c r="AK19" s="292"/>
      <c r="AL19" s="292"/>
      <c r="AM19" s="292"/>
      <c r="AN19" s="292"/>
      <c r="AO19" s="292"/>
      <c r="AP19" s="292"/>
      <c r="AQ19" s="193"/>
      <c r="AR19" s="193"/>
      <c r="AS19" s="193"/>
      <c r="AT19" s="193"/>
      <c r="AU19" s="193"/>
      <c r="AV19" s="193"/>
      <c r="AW19" s="193"/>
      <c r="AX19" s="193"/>
      <c r="AY19" s="193"/>
      <c r="AZ19" s="193"/>
      <c r="BA19" s="193"/>
      <c r="BB19" s="193"/>
      <c r="BC19" s="193"/>
      <c r="BD19" s="193"/>
      <c r="BE19" s="193"/>
      <c r="BF19" s="193"/>
      <c r="BG19" s="621"/>
      <c r="BH19" s="621"/>
      <c r="BI19" s="621"/>
      <c r="BJ19" s="621"/>
      <c r="BK19" s="621"/>
      <c r="BL19" s="621"/>
      <c r="BM19" s="621"/>
      <c r="BN19" s="193"/>
      <c r="BO19" s="193"/>
      <c r="BP19" s="193"/>
      <c r="BQ19" s="193"/>
      <c r="BR19" s="193"/>
      <c r="BS19" s="193"/>
      <c r="BT19" s="621"/>
      <c r="BU19" s="621"/>
      <c r="BV19" s="621"/>
      <c r="BW19" s="621"/>
      <c r="BX19" s="621"/>
      <c r="BY19" s="621"/>
      <c r="BZ19" s="621"/>
      <c r="CA19" s="193"/>
      <c r="CB19" s="193"/>
      <c r="CC19" s="193"/>
      <c r="CD19" s="193"/>
      <c r="CE19" s="193"/>
      <c r="CF19" s="193"/>
      <c r="CG19" s="193"/>
      <c r="CH19" s="643">
        <v>1.0283</v>
      </c>
      <c r="CI19" s="534"/>
      <c r="CJ19" s="644"/>
      <c r="CK19" s="645"/>
      <c r="CL19" s="193"/>
      <c r="CM19" s="193"/>
      <c r="CN19" s="193"/>
      <c r="CO19" s="193"/>
      <c r="CP19" s="193"/>
      <c r="CQ19" s="193"/>
      <c r="CR19" s="193"/>
      <c r="CS19" s="193"/>
      <c r="CT19" s="193"/>
      <c r="CU19" s="193"/>
      <c r="CV19" s="193"/>
      <c r="CW19" s="193"/>
      <c r="CX19" s="193"/>
      <c r="CY19" s="193"/>
      <c r="CZ19" s="193"/>
      <c r="DA19" s="193"/>
      <c r="DB19" s="193"/>
      <c r="DC19" s="193"/>
      <c r="DD19" s="193"/>
      <c r="DE19" s="534" t="s">
        <v>22</v>
      </c>
      <c r="DF19" s="193"/>
      <c r="DG19" s="622">
        <v>0.95509999999999995</v>
      </c>
      <c r="DH19" s="534" t="s">
        <v>395</v>
      </c>
      <c r="DI19" s="193"/>
      <c r="DJ19" s="193"/>
      <c r="DK19" s="193"/>
      <c r="DL19" s="193"/>
      <c r="DM19" s="193"/>
      <c r="DN19" s="193"/>
      <c r="DO19" s="193"/>
      <c r="DP19" s="193"/>
      <c r="DQ19" s="193"/>
      <c r="DR19" s="193"/>
      <c r="DS19" s="193"/>
      <c r="DT19" s="193"/>
      <c r="DU19" s="193"/>
      <c r="DV19" s="193"/>
      <c r="DW19" s="193"/>
      <c r="DX19" s="193"/>
      <c r="DY19" s="193"/>
      <c r="DZ19" s="193"/>
      <c r="EA19" s="193"/>
      <c r="EB19" s="193"/>
      <c r="EC19" s="193"/>
      <c r="ED19" s="193"/>
      <c r="EE19" s="536" t="s">
        <v>587</v>
      </c>
      <c r="EF19" s="193"/>
      <c r="EG19" s="193"/>
      <c r="EH19" s="193"/>
      <c r="EI19" s="193"/>
      <c r="EJ19" s="538">
        <f>DZ12</f>
        <v>1.4255</v>
      </c>
      <c r="EK19" s="620"/>
      <c r="EL19" s="193"/>
      <c r="EM19" s="193"/>
      <c r="EN19" s="193"/>
      <c r="EO19" s="193"/>
      <c r="EP19" s="193"/>
      <c r="EQ19" s="193"/>
      <c r="ER19" s="193"/>
      <c r="ES19" s="193"/>
      <c r="ET19" s="193"/>
      <c r="EU19" s="193"/>
    </row>
    <row r="20" spans="1:151" ht="15">
      <c r="A20" s="193"/>
      <c r="B20" s="193"/>
      <c r="C20" s="283" t="s">
        <v>396</v>
      </c>
      <c r="D20" s="601" t="s">
        <v>296</v>
      </c>
      <c r="E20" s="193"/>
      <c r="F20" s="601" t="s">
        <v>87</v>
      </c>
      <c r="G20" s="601" t="s">
        <v>22</v>
      </c>
      <c r="H20" s="601" t="s">
        <v>397</v>
      </c>
      <c r="I20" s="193"/>
      <c r="J20" s="193"/>
      <c r="K20" s="193"/>
      <c r="L20" s="193"/>
      <c r="M20" s="193"/>
      <c r="N20" s="193"/>
      <c r="O20" s="193"/>
      <c r="P20" s="193"/>
      <c r="Q20" s="193"/>
      <c r="R20" s="193"/>
      <c r="S20" s="193"/>
      <c r="T20" s="193"/>
      <c r="U20" s="193"/>
      <c r="V20" s="193"/>
      <c r="W20" s="193"/>
      <c r="X20" s="193"/>
      <c r="Y20" s="193"/>
      <c r="Z20" s="193"/>
      <c r="AA20" s="193"/>
      <c r="AB20" s="193"/>
      <c r="AC20" s="193"/>
      <c r="AD20" s="193"/>
      <c r="AE20" s="193"/>
      <c r="AF20" s="193"/>
      <c r="AG20" s="193"/>
      <c r="AH20" s="193"/>
      <c r="AI20" s="294"/>
      <c r="AJ20" s="193"/>
      <c r="AK20" s="193"/>
      <c r="AL20" s="193"/>
      <c r="AM20" s="193"/>
      <c r="AN20" s="193"/>
      <c r="AO20" s="193"/>
      <c r="AP20" s="193"/>
      <c r="AQ20" s="193"/>
      <c r="AR20" s="193"/>
      <c r="AS20" s="193"/>
      <c r="AT20" s="193"/>
      <c r="AU20" s="193"/>
      <c r="AV20" s="193"/>
      <c r="AW20" s="193"/>
      <c r="AX20" s="193"/>
      <c r="AY20" s="193"/>
      <c r="AZ20" s="193"/>
      <c r="BA20" s="193"/>
      <c r="BB20" s="193"/>
      <c r="BC20" s="193"/>
      <c r="BD20" s="193"/>
      <c r="BE20" s="193"/>
      <c r="BF20" s="193"/>
      <c r="BG20" s="623">
        <f>AI13</f>
        <v>2015</v>
      </c>
      <c r="BH20" s="607">
        <v>73873.863000000012</v>
      </c>
      <c r="BI20" s="607">
        <v>73873.863000000012</v>
      </c>
      <c r="BJ20" s="624">
        <f>(BI20-BH20)/BI20</f>
        <v>0</v>
      </c>
      <c r="BK20" s="537">
        <f>$AN$38</f>
        <v>0.96009999999999995</v>
      </c>
      <c r="BL20" s="624">
        <f>AZ38</f>
        <v>0.79107665532790128</v>
      </c>
      <c r="BM20" s="624">
        <f>ROUND(BJ20,4)*BK20*BL20</f>
        <v>0</v>
      </c>
      <c r="BN20" s="193"/>
      <c r="BO20" s="193"/>
      <c r="BP20" s="193"/>
      <c r="BQ20" s="193"/>
      <c r="BR20" s="193"/>
      <c r="BS20" s="193"/>
      <c r="BT20" s="294">
        <f>AI13</f>
        <v>2015</v>
      </c>
      <c r="BU20" s="193"/>
      <c r="BV20" s="624">
        <f>AP38</f>
        <v>0</v>
      </c>
      <c r="BW20" s="633"/>
      <c r="BX20" s="633">
        <f>BA38</f>
        <v>0</v>
      </c>
      <c r="BY20" s="633"/>
      <c r="BZ20" s="624">
        <f>BM20</f>
        <v>0</v>
      </c>
      <c r="CA20" s="634"/>
      <c r="CB20" s="193"/>
      <c r="CC20" s="193"/>
      <c r="CD20" s="193"/>
      <c r="CE20" s="193"/>
      <c r="CF20" s="193"/>
      <c r="CG20" s="193"/>
      <c r="CH20" s="193"/>
      <c r="CI20" s="193"/>
      <c r="CJ20" s="193"/>
      <c r="CK20" s="645"/>
      <c r="CL20" s="193"/>
      <c r="CM20" s="193"/>
      <c r="CN20" s="193"/>
      <c r="CO20" s="193"/>
      <c r="CP20" s="193"/>
      <c r="CQ20" s="193"/>
      <c r="CR20" s="193"/>
      <c r="CS20" s="193"/>
      <c r="CT20" s="193"/>
      <c r="CU20" s="193"/>
      <c r="CV20" s="193"/>
      <c r="CW20" s="193"/>
      <c r="CX20" s="193"/>
      <c r="CY20" s="193"/>
      <c r="CZ20" s="193"/>
      <c r="DA20" s="193"/>
      <c r="DB20" s="193"/>
      <c r="DC20" s="193"/>
      <c r="DD20" s="193"/>
      <c r="DE20" s="193"/>
      <c r="DF20" s="193"/>
      <c r="DG20" s="193"/>
      <c r="DH20" s="193"/>
      <c r="DI20" s="193"/>
      <c r="DJ20" s="193"/>
      <c r="DK20" s="193"/>
      <c r="DL20" s="193"/>
      <c r="DM20" s="193"/>
      <c r="DN20" s="193"/>
      <c r="DO20" s="193"/>
      <c r="DP20" s="193"/>
      <c r="DQ20" s="193"/>
      <c r="DR20" s="591" t="s">
        <v>107</v>
      </c>
      <c r="DS20" s="625"/>
      <c r="DT20" s="608">
        <f>AB25</f>
        <v>927367</v>
      </c>
      <c r="DU20" s="283"/>
      <c r="DV20" s="283"/>
      <c r="DW20" s="608">
        <f>AD25</f>
        <v>1854734</v>
      </c>
      <c r="DX20" s="193"/>
      <c r="DY20" s="193"/>
      <c r="DZ20" s="193"/>
      <c r="EA20" s="193"/>
      <c r="EB20" s="193"/>
      <c r="EC20" s="193"/>
      <c r="ED20" s="193"/>
      <c r="EE20" s="536" t="s">
        <v>588</v>
      </c>
      <c r="EF20" s="193"/>
      <c r="EG20" s="193"/>
      <c r="EH20" s="193"/>
      <c r="EI20" s="193"/>
      <c r="EJ20" s="193"/>
      <c r="EK20" s="620"/>
      <c r="EL20" s="193"/>
      <c r="EM20" s="193"/>
      <c r="EN20" s="193"/>
      <c r="EO20" s="193"/>
      <c r="EP20" s="193"/>
      <c r="EQ20" s="193"/>
      <c r="ER20" s="193"/>
      <c r="ES20" s="193"/>
      <c r="ET20" s="193"/>
      <c r="EU20" s="193"/>
    </row>
    <row r="21" spans="1:151" ht="15">
      <c r="A21" s="193"/>
      <c r="B21" s="193"/>
      <c r="C21" s="601" t="s">
        <v>399</v>
      </c>
      <c r="D21" s="601" t="s">
        <v>400</v>
      </c>
      <c r="E21" s="193"/>
      <c r="F21" s="601" t="s">
        <v>400</v>
      </c>
      <c r="G21" s="601" t="s">
        <v>400</v>
      </c>
      <c r="H21" s="601" t="s">
        <v>401</v>
      </c>
      <c r="I21" s="193"/>
      <c r="J21" s="193"/>
      <c r="K21" s="193"/>
      <c r="L21" s="193"/>
      <c r="M21" s="653">
        <v>1</v>
      </c>
      <c r="N21" s="654">
        <f>SQRT(+(M21^3))</f>
        <v>1</v>
      </c>
      <c r="O21" s="625">
        <f>F56</f>
        <v>0</v>
      </c>
      <c r="P21" s="625">
        <f>F57</f>
        <v>0</v>
      </c>
      <c r="Q21" s="625">
        <f>F58</f>
        <v>0</v>
      </c>
      <c r="R21" s="625"/>
      <c r="S21" s="625">
        <f t="shared" ref="S21:U40" si="0">ROUND(O21,-2)</f>
        <v>0</v>
      </c>
      <c r="T21" s="625">
        <f t="shared" si="0"/>
        <v>0</v>
      </c>
      <c r="U21" s="625">
        <f t="shared" si="0"/>
        <v>0</v>
      </c>
      <c r="V21" s="193"/>
      <c r="W21" s="193"/>
      <c r="X21" s="193"/>
      <c r="Y21" s="193"/>
      <c r="Z21" s="601" t="s">
        <v>408</v>
      </c>
      <c r="AA21" s="601" t="s">
        <v>409</v>
      </c>
      <c r="AB21" s="601" t="s">
        <v>410</v>
      </c>
      <c r="AC21" s="283"/>
      <c r="AD21" s="601" t="s">
        <v>411</v>
      </c>
      <c r="AE21" s="283"/>
      <c r="AF21" s="193"/>
      <c r="AG21" s="193"/>
      <c r="AH21" s="193"/>
      <c r="AI21" s="626" t="s">
        <v>402</v>
      </c>
      <c r="AJ21" s="201"/>
      <c r="AK21" s="201"/>
      <c r="AL21" s="201"/>
      <c r="AM21" s="201"/>
      <c r="AN21" s="201"/>
      <c r="AO21" s="201"/>
      <c r="AP21" s="201"/>
      <c r="AQ21" s="201"/>
      <c r="AR21" s="193"/>
      <c r="AS21" s="193"/>
      <c r="AT21" s="193"/>
      <c r="AU21" s="222" t="s">
        <v>402</v>
      </c>
      <c r="AV21" s="201"/>
      <c r="AW21" s="201"/>
      <c r="AX21" s="201"/>
      <c r="AY21" s="201"/>
      <c r="AZ21" s="201"/>
      <c r="BA21" s="201"/>
      <c r="BB21" s="201"/>
      <c r="BC21" s="193"/>
      <c r="BD21" s="193"/>
      <c r="BE21" s="193"/>
      <c r="BF21" s="536"/>
      <c r="BG21" s="627"/>
      <c r="BH21" s="703"/>
      <c r="BI21" s="703"/>
      <c r="BJ21" s="628"/>
      <c r="BK21" s="629"/>
      <c r="BL21" s="628"/>
      <c r="BM21" s="628"/>
      <c r="BN21" s="193"/>
      <c r="BO21" s="193"/>
      <c r="BP21" s="193"/>
      <c r="BQ21" s="193"/>
      <c r="BR21" s="193"/>
      <c r="BS21" s="193"/>
      <c r="BT21" s="294"/>
      <c r="BU21" s="193"/>
      <c r="BV21" s="624"/>
      <c r="BW21" s="633"/>
      <c r="BX21" s="633"/>
      <c r="BY21" s="633"/>
      <c r="BZ21" s="624"/>
      <c r="CA21" s="634"/>
      <c r="CB21" s="193"/>
      <c r="CC21" s="193"/>
      <c r="CD21" s="193"/>
      <c r="CE21" s="212"/>
      <c r="CF21" s="193"/>
      <c r="CG21" s="193"/>
      <c r="CH21" s="193"/>
      <c r="CI21" s="193"/>
      <c r="CJ21" s="193"/>
      <c r="CK21" s="645"/>
      <c r="CL21" s="193"/>
      <c r="CM21" s="193"/>
      <c r="CN21" s="193"/>
      <c r="CO21" s="193"/>
      <c r="CP21" s="193"/>
      <c r="CQ21" s="193"/>
      <c r="CR21" s="193"/>
      <c r="CS21" s="193"/>
      <c r="CT21" s="193"/>
      <c r="CU21" s="193"/>
      <c r="CV21" s="193"/>
      <c r="CW21" s="193"/>
      <c r="CX21" s="193"/>
      <c r="CY21" s="193"/>
      <c r="CZ21" s="193"/>
      <c r="DA21" s="193"/>
      <c r="DB21" s="193"/>
      <c r="DC21" s="193"/>
      <c r="DD21" s="193"/>
      <c r="DE21" s="193"/>
      <c r="DF21" s="193"/>
      <c r="DG21" s="630">
        <f>ROUND(DG19-0.25,2)</f>
        <v>0.71</v>
      </c>
      <c r="DH21" s="536" t="s">
        <v>403</v>
      </c>
      <c r="DI21" s="630">
        <f>ROUND(DG19+0.25,2)</f>
        <v>1.21</v>
      </c>
      <c r="DJ21" s="193"/>
      <c r="DK21" s="193"/>
      <c r="DL21" s="193"/>
      <c r="DM21" s="193"/>
      <c r="DN21" s="193"/>
      <c r="DO21" s="193"/>
      <c r="DP21" s="193"/>
      <c r="DQ21" s="193"/>
      <c r="DR21" s="591" t="s">
        <v>108</v>
      </c>
      <c r="DS21" s="625"/>
      <c r="DT21" s="608">
        <f>AB27</f>
        <v>985013</v>
      </c>
      <c r="DU21" s="283"/>
      <c r="DV21" s="283"/>
      <c r="DW21" s="608">
        <f>AD27</f>
        <v>1970026</v>
      </c>
      <c r="DX21" s="193"/>
      <c r="DY21" s="193"/>
      <c r="DZ21" s="193"/>
      <c r="EA21" s="193"/>
      <c r="EB21" s="193"/>
      <c r="EC21" s="193"/>
      <c r="ED21" s="193"/>
      <c r="EE21" s="193"/>
      <c r="EF21" s="193"/>
      <c r="EG21" s="193"/>
      <c r="EH21" s="534"/>
      <c r="EI21" s="193"/>
      <c r="EJ21" s="615"/>
      <c r="EK21" s="620"/>
      <c r="EL21" s="193"/>
      <c r="EM21" s="193"/>
      <c r="EN21" s="193"/>
      <c r="EO21" s="193"/>
      <c r="EP21" s="193"/>
      <c r="EQ21" s="193"/>
      <c r="ER21" s="193"/>
      <c r="ES21" s="193"/>
      <c r="ET21" s="193"/>
      <c r="EU21" s="193"/>
    </row>
    <row r="22" spans="1:151" ht="15">
      <c r="A22" s="193"/>
      <c r="B22" s="193"/>
      <c r="C22" s="631" t="s">
        <v>26</v>
      </c>
      <c r="D22" s="631" t="s">
        <v>23</v>
      </c>
      <c r="E22" s="632"/>
      <c r="F22" s="631" t="s">
        <v>24</v>
      </c>
      <c r="G22" s="631" t="s">
        <v>25</v>
      </c>
      <c r="H22" s="631" t="s">
        <v>390</v>
      </c>
      <c r="I22" s="193"/>
      <c r="J22" s="193"/>
      <c r="K22" s="193"/>
      <c r="L22" s="193"/>
      <c r="M22" s="653">
        <v>0.95</v>
      </c>
      <c r="N22" s="654">
        <f t="shared" ref="N22:N40" si="1">ROUND((SQRT(+(M22^3))),3)</f>
        <v>0.92600000000000005</v>
      </c>
      <c r="O22" s="625">
        <f>O21*N22</f>
        <v>0</v>
      </c>
      <c r="P22" s="625">
        <f>P21*N22</f>
        <v>0</v>
      </c>
      <c r="Q22" s="625">
        <f>N22*Q21</f>
        <v>0</v>
      </c>
      <c r="R22" s="625"/>
      <c r="S22" s="625">
        <f t="shared" si="0"/>
        <v>0</v>
      </c>
      <c r="T22" s="625">
        <f t="shared" si="0"/>
        <v>0</v>
      </c>
      <c r="U22" s="625">
        <f t="shared" si="0"/>
        <v>0</v>
      </c>
      <c r="V22" s="193"/>
      <c r="W22" s="193"/>
      <c r="X22" s="193"/>
      <c r="Y22" s="193"/>
      <c r="Z22" s="655" t="s">
        <v>413</v>
      </c>
      <c r="AA22" s="601" t="s">
        <v>414</v>
      </c>
      <c r="AB22" s="715">
        <v>560815</v>
      </c>
      <c r="AC22" s="283"/>
      <c r="AD22" s="601" t="s">
        <v>415</v>
      </c>
      <c r="AE22" s="283"/>
      <c r="AF22" s="193"/>
      <c r="AG22" s="193"/>
      <c r="AH22" s="193"/>
      <c r="AI22" s="294"/>
      <c r="AJ22" s="193"/>
      <c r="AK22" s="193"/>
      <c r="AL22" s="193"/>
      <c r="AM22" s="193"/>
      <c r="AN22" s="193"/>
      <c r="AO22" s="193"/>
      <c r="AP22" s="193"/>
      <c r="AQ22" s="193"/>
      <c r="AR22" s="193"/>
      <c r="AS22" s="193"/>
      <c r="AT22" s="193"/>
      <c r="AU22" s="193"/>
      <c r="AV22" s="193"/>
      <c r="AW22" s="193"/>
      <c r="AX22" s="193"/>
      <c r="AY22" s="193"/>
      <c r="AZ22" s="193"/>
      <c r="BA22" s="193"/>
      <c r="BB22" s="193"/>
      <c r="BC22" s="193"/>
      <c r="BD22" s="193"/>
      <c r="BE22" s="193"/>
      <c r="BF22" s="193"/>
      <c r="BG22" s="623">
        <f>AI14</f>
        <v>2016</v>
      </c>
      <c r="BH22" s="607">
        <v>94306.175999999992</v>
      </c>
      <c r="BI22" s="607">
        <v>94306.175999999992</v>
      </c>
      <c r="BJ22" s="624">
        <f>(BI22-BH22)/BI22</f>
        <v>0</v>
      </c>
      <c r="BK22" s="537">
        <f>$AN$38</f>
        <v>0.96009999999999995</v>
      </c>
      <c r="BL22" s="624">
        <f>AZ39</f>
        <v>0.81486310299869613</v>
      </c>
      <c r="BM22" s="624">
        <f>ROUND(BJ22,4)*BK22*BL22</f>
        <v>0</v>
      </c>
      <c r="BN22" s="193"/>
      <c r="BO22" s="193"/>
      <c r="BP22" s="193"/>
      <c r="BQ22" s="193"/>
      <c r="BR22" s="193"/>
      <c r="BS22" s="193"/>
      <c r="BT22" s="294">
        <f>AI14</f>
        <v>2016</v>
      </c>
      <c r="BU22" s="193"/>
      <c r="BV22" s="624">
        <f>AP39</f>
        <v>0</v>
      </c>
      <c r="BW22" s="633"/>
      <c r="BX22" s="633">
        <f>BA39</f>
        <v>0</v>
      </c>
      <c r="BY22" s="633"/>
      <c r="BZ22" s="624">
        <f>BM22</f>
        <v>0</v>
      </c>
      <c r="CA22" s="634"/>
      <c r="CB22" s="193"/>
      <c r="CC22" s="193"/>
      <c r="CD22" s="193"/>
      <c r="CE22" s="193"/>
      <c r="CF22" s="534"/>
      <c r="CG22" s="193"/>
      <c r="CH22" s="705"/>
      <c r="CJ22" s="636"/>
      <c r="CK22" s="645"/>
      <c r="CL22" s="193"/>
      <c r="CM22" s="193"/>
      <c r="CN22" s="193"/>
      <c r="CO22" s="193"/>
      <c r="CP22" s="193"/>
      <c r="CQ22" s="193"/>
      <c r="CR22" s="534" t="s">
        <v>404</v>
      </c>
      <c r="CS22" s="193"/>
      <c r="CT22" s="595"/>
      <c r="CU22" s="594" t="s">
        <v>405</v>
      </c>
      <c r="CV22" s="638">
        <v>0.95509999999999995</v>
      </c>
      <c r="CW22" s="639" t="s">
        <v>406</v>
      </c>
      <c r="CX22" s="640">
        <v>0.72270000000000001</v>
      </c>
      <c r="CY22" s="641" t="s">
        <v>407</v>
      </c>
      <c r="CZ22" s="193"/>
      <c r="DA22" s="535" t="s">
        <v>152</v>
      </c>
      <c r="DB22" s="642">
        <f>ROUND((CV22*CX22)/(CV23*CX23),4)</f>
        <v>0.96009999999999995</v>
      </c>
      <c r="DC22" s="193"/>
      <c r="DD22" s="193"/>
      <c r="DL22" s="193"/>
      <c r="DM22" s="193"/>
      <c r="DN22" s="193"/>
      <c r="DO22" s="193"/>
      <c r="DP22" s="193"/>
      <c r="DQ22" s="193"/>
      <c r="DR22" s="591" t="s">
        <v>109</v>
      </c>
      <c r="DS22" s="625"/>
      <c r="DT22" s="608">
        <f>AB29</f>
        <v>1046242</v>
      </c>
      <c r="DU22" s="283"/>
      <c r="DV22" s="283"/>
      <c r="DW22" s="608">
        <f>AD29</f>
        <v>2092484</v>
      </c>
      <c r="DX22" s="193"/>
      <c r="DY22" s="193"/>
      <c r="DZ22" s="193"/>
      <c r="EA22" s="193"/>
      <c r="EB22" s="193"/>
      <c r="EC22" s="193"/>
      <c r="ED22" s="193"/>
      <c r="EE22" s="193"/>
      <c r="EF22" s="193"/>
      <c r="EG22" s="193"/>
      <c r="EH22" s="193"/>
      <c r="EI22" s="193"/>
      <c r="EJ22" s="193"/>
      <c r="EK22" s="597"/>
      <c r="EL22" s="193"/>
      <c r="EM22" s="193"/>
      <c r="EN22" s="193"/>
      <c r="EO22" s="193"/>
      <c r="EP22" s="193"/>
      <c r="EQ22" s="193"/>
      <c r="ER22" s="193"/>
      <c r="ES22" s="193"/>
      <c r="ET22" s="193"/>
      <c r="EU22" s="193"/>
    </row>
    <row r="23" spans="1:151" ht="12.9">
      <c r="A23" s="193"/>
      <c r="B23" s="193"/>
      <c r="C23" s="193"/>
      <c r="D23" s="193"/>
      <c r="E23" s="193"/>
      <c r="F23" s="193"/>
      <c r="G23" s="193"/>
      <c r="H23" s="193"/>
      <c r="I23" s="193"/>
      <c r="J23" s="193"/>
      <c r="K23" s="193"/>
      <c r="L23" s="193"/>
      <c r="M23" s="653">
        <v>0.9</v>
      </c>
      <c r="N23" s="654">
        <f t="shared" si="1"/>
        <v>0.85399999999999998</v>
      </c>
      <c r="O23" s="625">
        <f>O21*N23</f>
        <v>0</v>
      </c>
      <c r="P23" s="625">
        <f>P21*N23</f>
        <v>0</v>
      </c>
      <c r="Q23" s="625">
        <f>N23*Q21</f>
        <v>0</v>
      </c>
      <c r="R23" s="625"/>
      <c r="S23" s="625">
        <f t="shared" si="0"/>
        <v>0</v>
      </c>
      <c r="T23" s="625">
        <f t="shared" si="0"/>
        <v>0</v>
      </c>
      <c r="U23" s="625">
        <f t="shared" si="0"/>
        <v>0</v>
      </c>
      <c r="V23" s="193"/>
      <c r="W23" s="193"/>
      <c r="X23" s="193"/>
      <c r="Y23" s="193"/>
      <c r="Z23" s="631" t="s">
        <v>26</v>
      </c>
      <c r="AA23" s="631" t="s">
        <v>23</v>
      </c>
      <c r="AB23" s="631" t="s">
        <v>24</v>
      </c>
      <c r="AC23" s="632"/>
      <c r="AD23" s="631" t="s">
        <v>25</v>
      </c>
      <c r="AE23" s="283"/>
      <c r="AF23" s="193"/>
      <c r="AG23" s="193"/>
      <c r="AH23" s="193"/>
      <c r="AI23" s="294"/>
      <c r="AJ23" s="602" t="s">
        <v>363</v>
      </c>
      <c r="AK23" s="603"/>
      <c r="AL23" s="603"/>
      <c r="AM23" s="201"/>
      <c r="AN23" s="602" t="s">
        <v>117</v>
      </c>
      <c r="AO23" s="603"/>
      <c r="AP23" s="603"/>
      <c r="AQ23" s="193"/>
      <c r="AR23" s="193"/>
      <c r="AS23" s="193"/>
      <c r="AT23" s="193"/>
      <c r="AU23" s="193"/>
      <c r="AV23" s="602" t="s">
        <v>296</v>
      </c>
      <c r="AW23" s="603"/>
      <c r="AX23" s="193"/>
      <c r="AY23" s="602" t="s">
        <v>87</v>
      </c>
      <c r="AZ23" s="603"/>
      <c r="BA23" s="193"/>
      <c r="BB23" s="193"/>
      <c r="BC23" s="193"/>
      <c r="BD23" s="193"/>
      <c r="BE23" s="193"/>
      <c r="BF23" s="536"/>
      <c r="BG23" s="627"/>
      <c r="BH23" s="703"/>
      <c r="BI23" s="704"/>
      <c r="BJ23" s="628"/>
      <c r="BK23" s="629"/>
      <c r="BL23" s="628"/>
      <c r="BM23" s="628"/>
      <c r="BN23" s="193"/>
      <c r="BO23" s="193"/>
      <c r="BP23" s="193"/>
      <c r="BQ23" s="193"/>
      <c r="BR23" s="193"/>
      <c r="BS23" s="193"/>
      <c r="BT23" s="294"/>
      <c r="BU23" s="193"/>
      <c r="BV23" s="624"/>
      <c r="BW23" s="633"/>
      <c r="BX23" s="633"/>
      <c r="BY23" s="633"/>
      <c r="BZ23" s="624"/>
      <c r="CA23" s="634"/>
      <c r="CB23" s="193"/>
      <c r="CC23" s="193"/>
      <c r="CD23" s="193"/>
      <c r="CE23" s="193"/>
      <c r="CF23" s="193"/>
      <c r="CG23" s="193"/>
      <c r="CH23" s="706"/>
      <c r="CI23" s="193"/>
      <c r="CJ23" s="644"/>
      <c r="CK23" s="645"/>
      <c r="CL23" s="193"/>
      <c r="CM23" s="193"/>
      <c r="CN23" s="193"/>
      <c r="CO23" s="193"/>
      <c r="CP23" s="193"/>
      <c r="CQ23" s="193"/>
      <c r="CR23" s="193"/>
      <c r="CS23" s="193"/>
      <c r="CT23" s="193"/>
      <c r="CU23" s="594" t="s">
        <v>405</v>
      </c>
      <c r="CV23" s="646">
        <v>1</v>
      </c>
      <c r="CW23" s="639" t="s">
        <v>406</v>
      </c>
      <c r="CX23" s="647">
        <v>0.71889999999999998</v>
      </c>
      <c r="CY23" s="648" t="s">
        <v>407</v>
      </c>
      <c r="CZ23" s="649"/>
      <c r="DA23" s="649"/>
      <c r="DB23" s="645"/>
      <c r="DC23" s="193"/>
      <c r="DD23" s="193"/>
      <c r="DL23" s="193"/>
      <c r="DM23" s="193"/>
      <c r="DN23" s="193"/>
      <c r="DO23" s="193"/>
      <c r="DP23" s="193"/>
      <c r="DQ23" s="536"/>
      <c r="DR23" s="591" t="s">
        <v>110</v>
      </c>
      <c r="DS23" s="625"/>
      <c r="DT23" s="608">
        <f>AB31</f>
        <v>1111277</v>
      </c>
      <c r="DU23" s="283"/>
      <c r="DV23" s="283"/>
      <c r="DW23" s="608">
        <f>AD31</f>
        <v>2222554</v>
      </c>
      <c r="DX23" s="193"/>
      <c r="DY23" s="193"/>
      <c r="DZ23" s="193"/>
      <c r="EA23" s="193"/>
      <c r="EB23" s="193"/>
      <c r="EC23" s="193"/>
      <c r="ED23" s="193"/>
      <c r="EE23" s="193"/>
      <c r="EF23" s="193"/>
      <c r="EG23" s="193"/>
      <c r="EH23" s="193"/>
      <c r="EI23" s="193"/>
      <c r="EJ23" s="193"/>
      <c r="EK23" s="193"/>
      <c r="EL23" s="193"/>
      <c r="EM23" s="193"/>
      <c r="EN23" s="193"/>
      <c r="EO23" s="193"/>
      <c r="EP23" s="193"/>
      <c r="EQ23" s="193"/>
      <c r="ER23" s="193"/>
      <c r="ES23" s="193"/>
      <c r="ET23" s="193"/>
      <c r="EU23" s="193"/>
    </row>
    <row r="24" spans="1:151" ht="12.9">
      <c r="A24" s="536" t="s">
        <v>7</v>
      </c>
      <c r="B24" s="193"/>
      <c r="C24" s="650">
        <v>0</v>
      </c>
      <c r="D24" s="650">
        <v>0</v>
      </c>
      <c r="E24" s="651"/>
      <c r="F24" s="650">
        <v>0</v>
      </c>
      <c r="G24" s="652">
        <f>SUM(D24:F24)</f>
        <v>0</v>
      </c>
      <c r="H24" s="652">
        <v>0</v>
      </c>
      <c r="I24" s="193"/>
      <c r="J24" s="193"/>
      <c r="K24" s="193"/>
      <c r="L24" s="193"/>
      <c r="M24" s="653">
        <v>0.85</v>
      </c>
      <c r="N24" s="654">
        <f t="shared" si="1"/>
        <v>0.78400000000000003</v>
      </c>
      <c r="O24" s="625">
        <f>O21*N24</f>
        <v>0</v>
      </c>
      <c r="P24" s="625">
        <f>P21*N24</f>
        <v>0</v>
      </c>
      <c r="Q24" s="625">
        <f>N24*Q21</f>
        <v>0</v>
      </c>
      <c r="R24" s="625"/>
      <c r="S24" s="625">
        <f t="shared" si="0"/>
        <v>0</v>
      </c>
      <c r="T24" s="625">
        <f t="shared" si="0"/>
        <v>0</v>
      </c>
      <c r="U24" s="625">
        <f t="shared" si="0"/>
        <v>0</v>
      </c>
      <c r="V24" s="193"/>
      <c r="W24" s="193"/>
      <c r="X24" s="193"/>
      <c r="Y24" s="193"/>
      <c r="Z24" s="193"/>
      <c r="AA24" s="193"/>
      <c r="AB24" s="193"/>
      <c r="AC24" s="193"/>
      <c r="AD24" s="193"/>
      <c r="AE24" s="193"/>
      <c r="AF24" s="193"/>
      <c r="AG24" s="193"/>
      <c r="AH24" s="193"/>
      <c r="AI24" s="294"/>
      <c r="AJ24" s="601" t="s">
        <v>7</v>
      </c>
      <c r="AK24" s="601" t="s">
        <v>8</v>
      </c>
      <c r="AL24" s="601" t="s">
        <v>9</v>
      </c>
      <c r="AM24" s="601"/>
      <c r="AN24" s="601" t="s">
        <v>7</v>
      </c>
      <c r="AO24" s="601" t="s">
        <v>8</v>
      </c>
      <c r="AP24" s="601" t="s">
        <v>9</v>
      </c>
      <c r="AQ24" s="283" t="s">
        <v>22</v>
      </c>
      <c r="AR24" s="193"/>
      <c r="AS24" s="193"/>
      <c r="AT24" s="193"/>
      <c r="AU24" s="193"/>
      <c r="AV24" s="601" t="s">
        <v>15</v>
      </c>
      <c r="AW24" s="601" t="s">
        <v>16</v>
      </c>
      <c r="AX24" s="193"/>
      <c r="AY24" s="601" t="s">
        <v>15</v>
      </c>
      <c r="AZ24" s="601" t="s">
        <v>16</v>
      </c>
      <c r="BA24" s="193"/>
      <c r="BB24" s="283" t="s">
        <v>22</v>
      </c>
      <c r="BC24" s="193"/>
      <c r="BD24" s="193"/>
      <c r="BE24" s="193"/>
      <c r="BF24" s="193"/>
      <c r="BG24" s="623">
        <f>AI15</f>
        <v>2017</v>
      </c>
      <c r="BH24" s="607">
        <v>49314.963000000003</v>
      </c>
      <c r="BI24" s="607">
        <v>49314.963000000003</v>
      </c>
      <c r="BJ24" s="624">
        <f>(BI24-BH24)/BI24</f>
        <v>0</v>
      </c>
      <c r="BK24" s="537">
        <f>$AN$38</f>
        <v>0.96009999999999995</v>
      </c>
      <c r="BL24" s="624">
        <f>AZ40</f>
        <v>0.83388925950633752</v>
      </c>
      <c r="BM24" s="624">
        <f>ROUND(BJ24,4)*BK24*BL24</f>
        <v>0</v>
      </c>
      <c r="BN24" s="193"/>
      <c r="BO24" s="193"/>
      <c r="BP24" s="193"/>
      <c r="BQ24" s="193"/>
      <c r="BR24" s="193"/>
      <c r="BS24" s="193"/>
      <c r="BT24" s="294">
        <f>AI15</f>
        <v>2017</v>
      </c>
      <c r="BU24" s="193"/>
      <c r="BV24" s="624">
        <f>AP40</f>
        <v>0</v>
      </c>
      <c r="BW24" s="633"/>
      <c r="BX24" s="633">
        <f>BA40</f>
        <v>0</v>
      </c>
      <c r="BY24" s="633"/>
      <c r="BZ24" s="624">
        <f>BM24</f>
        <v>0</v>
      </c>
      <c r="CA24" s="634"/>
      <c r="CB24" s="193"/>
      <c r="CC24" s="193"/>
      <c r="CD24" s="193"/>
      <c r="CE24" s="193"/>
      <c r="CF24" s="193"/>
      <c r="CG24" s="193"/>
      <c r="CH24" s="193"/>
      <c r="CI24" s="193"/>
      <c r="CJ24" s="193"/>
      <c r="CK24" s="645"/>
      <c r="CL24" s="536"/>
      <c r="CM24" s="193"/>
      <c r="CN24" s="193"/>
      <c r="CO24" s="193"/>
      <c r="CP24" s="193"/>
      <c r="CQ24" s="193"/>
      <c r="CR24" s="193"/>
      <c r="CS24" s="193"/>
      <c r="CT24" s="193"/>
      <c r="CU24" s="193"/>
      <c r="CV24" s="641"/>
      <c r="CW24" s="641"/>
      <c r="CX24" s="641"/>
      <c r="CY24" s="641"/>
      <c r="CZ24" s="641"/>
      <c r="DA24" s="641"/>
      <c r="DB24" s="645"/>
      <c r="DC24" s="193"/>
      <c r="DD24" s="193"/>
      <c r="DL24" s="193"/>
      <c r="DM24" s="193"/>
      <c r="DN24" s="193"/>
      <c r="DO24" s="193"/>
      <c r="DP24" s="193"/>
      <c r="DQ24" s="536"/>
      <c r="DR24" s="591" t="s">
        <v>111</v>
      </c>
      <c r="DS24" s="625"/>
      <c r="DT24" s="608">
        <f>AB33</f>
        <v>1180354</v>
      </c>
      <c r="DU24" s="283"/>
      <c r="DV24" s="283"/>
      <c r="DW24" s="608">
        <f>AD33</f>
        <v>2360708</v>
      </c>
      <c r="DX24" s="193"/>
      <c r="DY24" s="193"/>
      <c r="DZ24" s="193"/>
      <c r="EA24" s="193"/>
      <c r="EB24" s="193"/>
      <c r="EC24" s="193"/>
      <c r="ED24" s="193"/>
      <c r="EE24" s="193"/>
      <c r="EF24" s="193"/>
      <c r="EG24" s="193"/>
      <c r="EH24" s="193"/>
      <c r="EI24" s="193"/>
      <c r="EJ24" s="193"/>
      <c r="EK24" s="193"/>
      <c r="EL24" s="193"/>
      <c r="EM24" s="193"/>
      <c r="EN24" s="193"/>
      <c r="EO24" s="193"/>
      <c r="EP24" s="193"/>
      <c r="EQ24" s="193"/>
      <c r="ER24" s="193"/>
      <c r="ES24" s="193"/>
      <c r="ET24" s="193"/>
      <c r="EU24" s="193"/>
    </row>
    <row r="25" spans="1:151" ht="12.9">
      <c r="A25" s="536" t="s">
        <v>412</v>
      </c>
      <c r="B25" s="193"/>
      <c r="C25" s="650">
        <v>0</v>
      </c>
      <c r="D25" s="650">
        <v>0</v>
      </c>
      <c r="E25" s="651"/>
      <c r="F25" s="650"/>
      <c r="G25" s="652">
        <f>SUM(D25:F25)</f>
        <v>0</v>
      </c>
      <c r="H25" s="652">
        <v>0</v>
      </c>
      <c r="I25" s="193"/>
      <c r="J25" s="193"/>
      <c r="K25" s="193"/>
      <c r="L25" s="193"/>
      <c r="M25" s="653">
        <v>0.8</v>
      </c>
      <c r="N25" s="654">
        <f t="shared" si="1"/>
        <v>0.71599999999999997</v>
      </c>
      <c r="O25" s="625">
        <f>O21*N25</f>
        <v>0</v>
      </c>
      <c r="P25" s="625">
        <f>P21*N25</f>
        <v>0</v>
      </c>
      <c r="Q25" s="625">
        <f>N25*Q21</f>
        <v>0</v>
      </c>
      <c r="R25" s="625"/>
      <c r="S25" s="625">
        <f t="shared" si="0"/>
        <v>0</v>
      </c>
      <c r="T25" s="625">
        <f t="shared" si="0"/>
        <v>0</v>
      </c>
      <c r="U25" s="625">
        <f t="shared" si="0"/>
        <v>0</v>
      </c>
      <c r="V25" s="193"/>
      <c r="W25" s="193"/>
      <c r="X25" s="193"/>
      <c r="Y25" s="193"/>
      <c r="Z25" s="283" t="s">
        <v>107</v>
      </c>
      <c r="AA25" s="660">
        <v>0.8268032874067176</v>
      </c>
      <c r="AB25" s="658">
        <f>ROUND(AA25*$AB$22*2,0)</f>
        <v>927367</v>
      </c>
      <c r="AC25" s="193"/>
      <c r="AD25" s="658">
        <f>AB25*2</f>
        <v>1854734</v>
      </c>
      <c r="AE25" s="193"/>
      <c r="AF25" s="193"/>
      <c r="AG25" s="193"/>
      <c r="AH25" s="193"/>
      <c r="AI25" s="294">
        <f>AI13</f>
        <v>2015</v>
      </c>
      <c r="AJ25" s="607">
        <v>0</v>
      </c>
      <c r="AK25" s="607">
        <v>0</v>
      </c>
      <c r="AL25" s="607">
        <v>28769.44356</v>
      </c>
      <c r="AM25" s="607"/>
      <c r="AN25" s="607">
        <v>0</v>
      </c>
      <c r="AO25" s="607">
        <v>0</v>
      </c>
      <c r="AP25" s="607">
        <v>10340.465489999999</v>
      </c>
      <c r="AQ25" s="608">
        <f>SUM(AJ25:AP25)</f>
        <v>39109.909050000002</v>
      </c>
      <c r="AR25" s="193"/>
      <c r="AS25" s="193"/>
      <c r="AT25" s="193"/>
      <c r="AU25" s="294">
        <f>AU13</f>
        <v>2015</v>
      </c>
      <c r="AV25" s="613">
        <v>6254.2574000000004</v>
      </c>
      <c r="AW25" s="613">
        <v>5451.0981199999997</v>
      </c>
      <c r="AX25" s="614"/>
      <c r="AY25" s="613">
        <v>3052.0647899999999</v>
      </c>
      <c r="AZ25" s="613">
        <v>4045.6748100000004</v>
      </c>
      <c r="BA25" s="283"/>
      <c r="BB25" s="608">
        <f>AV25+AW25+AY25+AZ25</f>
        <v>18803.095120000002</v>
      </c>
      <c r="BC25" s="193"/>
      <c r="BD25" s="193"/>
      <c r="BE25" s="193"/>
      <c r="BF25" s="536"/>
      <c r="BG25" s="627"/>
      <c r="BH25" s="703"/>
      <c r="BI25" s="704"/>
      <c r="BJ25" s="628"/>
      <c r="BK25" s="629"/>
      <c r="BL25" s="628"/>
      <c r="BM25" s="628"/>
      <c r="BN25" s="193"/>
      <c r="BO25" s="193"/>
      <c r="BP25" s="193"/>
      <c r="BQ25" s="193"/>
      <c r="BR25" s="193"/>
      <c r="BS25" s="193"/>
      <c r="BT25" s="294"/>
      <c r="BU25" s="193"/>
      <c r="BV25" s="624"/>
      <c r="BW25" s="633"/>
      <c r="BX25" s="633"/>
      <c r="BY25" s="633"/>
      <c r="BZ25" s="624"/>
      <c r="CA25" s="634"/>
      <c r="CB25" s="193"/>
      <c r="CC25" s="193"/>
      <c r="CD25" s="193"/>
      <c r="CE25" s="535"/>
      <c r="CF25" s="193"/>
      <c r="CG25" s="193"/>
      <c r="CH25" s="193"/>
      <c r="CI25" s="193"/>
      <c r="CJ25" s="193"/>
      <c r="CK25" s="645"/>
      <c r="CL25" s="193"/>
      <c r="CM25" s="193"/>
      <c r="CN25" s="193"/>
      <c r="CO25" s="193"/>
      <c r="CP25" s="193"/>
      <c r="CQ25" s="193"/>
      <c r="CR25" s="193"/>
      <c r="CS25" s="193"/>
      <c r="CT25" s="193"/>
      <c r="CU25" s="193"/>
      <c r="CV25" s="641"/>
      <c r="CW25" s="641"/>
      <c r="CX25" s="641"/>
      <c r="CY25" s="641"/>
      <c r="CZ25" s="641"/>
      <c r="DA25" s="641"/>
      <c r="DB25" s="645"/>
      <c r="DC25" s="193"/>
      <c r="DD25" s="193"/>
      <c r="DE25" s="534"/>
      <c r="DF25" s="193"/>
      <c r="DG25" s="645"/>
      <c r="DH25" s="534"/>
      <c r="DI25" s="193"/>
      <c r="DJ25" s="193"/>
      <c r="DK25" s="193"/>
      <c r="DL25" s="193"/>
      <c r="DM25" s="193"/>
      <c r="DN25" s="193"/>
      <c r="DO25" s="193"/>
      <c r="DP25" s="193"/>
      <c r="DQ25" s="536"/>
      <c r="DR25" s="591" t="s">
        <v>112</v>
      </c>
      <c r="DS25" s="625"/>
      <c r="DT25" s="608">
        <f>AB35</f>
        <v>1253726</v>
      </c>
      <c r="DU25" s="283"/>
      <c r="DV25" s="283"/>
      <c r="DW25" s="608">
        <f>AD35</f>
        <v>2507452</v>
      </c>
      <c r="DX25" s="193"/>
      <c r="DY25" s="193"/>
      <c r="DZ25" s="193"/>
      <c r="EA25" s="193"/>
      <c r="EB25" s="193"/>
      <c r="EC25" s="193"/>
      <c r="ED25" s="193"/>
      <c r="EE25" s="193"/>
      <c r="EF25" s="193"/>
      <c r="EG25" s="193"/>
      <c r="EH25" s="193"/>
      <c r="EI25" s="193"/>
      <c r="EJ25" s="193"/>
      <c r="EK25" s="193"/>
      <c r="EL25" s="193"/>
      <c r="EM25" s="193"/>
      <c r="EN25" s="193"/>
      <c r="EO25" s="193"/>
      <c r="EP25" s="193"/>
      <c r="EQ25" s="193"/>
      <c r="ER25" s="193"/>
      <c r="ES25" s="193"/>
      <c r="ET25" s="193"/>
      <c r="EU25" s="193"/>
    </row>
    <row r="26" spans="1:151" ht="12.9">
      <c r="A26" s="536" t="s">
        <v>9</v>
      </c>
      <c r="B26" s="193"/>
      <c r="C26" s="650">
        <v>14</v>
      </c>
      <c r="D26" s="650">
        <v>76492.75534920799</v>
      </c>
      <c r="E26" s="651"/>
      <c r="F26" s="650">
        <v>32989.942384851005</v>
      </c>
      <c r="G26" s="652">
        <f>SUM(D26:F26)</f>
        <v>109482.69773405899</v>
      </c>
      <c r="H26" s="689">
        <f>IFERROR(ROUND(G26/C26,0),0)</f>
        <v>7820</v>
      </c>
      <c r="I26" s="193"/>
      <c r="J26" s="193"/>
      <c r="K26" s="193"/>
      <c r="L26" s="193"/>
      <c r="M26" s="653">
        <v>0.75</v>
      </c>
      <c r="N26" s="654">
        <f t="shared" si="1"/>
        <v>0.65</v>
      </c>
      <c r="O26" s="625">
        <f>O21*N26</f>
        <v>0</v>
      </c>
      <c r="P26" s="625">
        <f>P21*N26</f>
        <v>0</v>
      </c>
      <c r="Q26" s="625">
        <f>N26*Q21</f>
        <v>0</v>
      </c>
      <c r="R26" s="625"/>
      <c r="S26" s="625">
        <f t="shared" si="0"/>
        <v>0</v>
      </c>
      <c r="T26" s="625">
        <f t="shared" si="0"/>
        <v>0</v>
      </c>
      <c r="U26" s="625">
        <f t="shared" si="0"/>
        <v>0</v>
      </c>
      <c r="V26" s="193"/>
      <c r="W26" s="193"/>
      <c r="X26" s="193"/>
      <c r="Y26" s="193"/>
      <c r="Z26" s="283"/>
      <c r="AA26" s="660"/>
      <c r="AB26" s="658"/>
      <c r="AC26" s="193"/>
      <c r="AD26" s="283"/>
      <c r="AE26" s="193"/>
      <c r="AF26" s="193"/>
      <c r="AG26" s="193"/>
      <c r="AH26" s="193"/>
      <c r="AI26" s="294">
        <f>AI14</f>
        <v>2016</v>
      </c>
      <c r="AJ26" s="607">
        <v>0</v>
      </c>
      <c r="AK26" s="607">
        <v>0</v>
      </c>
      <c r="AL26" s="607">
        <v>8489.8850676600014</v>
      </c>
      <c r="AM26" s="607"/>
      <c r="AN26" s="607">
        <v>0</v>
      </c>
      <c r="AO26" s="607">
        <v>0</v>
      </c>
      <c r="AP26" s="607">
        <v>1761.5681331599999</v>
      </c>
      <c r="AQ26" s="608">
        <f>SUM(AJ26:AP26)</f>
        <v>10251.45320082</v>
      </c>
      <c r="AR26" s="193"/>
      <c r="AS26" s="193"/>
      <c r="AT26" s="193"/>
      <c r="AU26" s="294">
        <f>AU14</f>
        <v>2016</v>
      </c>
      <c r="AV26" s="613">
        <v>8135.1666319200003</v>
      </c>
      <c r="AW26" s="613">
        <v>15012.0623502</v>
      </c>
      <c r="AX26" s="614"/>
      <c r="AY26" s="613">
        <v>2146.4571829200004</v>
      </c>
      <c r="AZ26" s="613">
        <v>7748.5583205480007</v>
      </c>
      <c r="BA26" s="283"/>
      <c r="BB26" s="608">
        <f>AV26+AW26+AY26+AZ26</f>
        <v>33042.244485588002</v>
      </c>
      <c r="BC26" s="193"/>
      <c r="BD26" s="193"/>
      <c r="BE26" s="193"/>
      <c r="BF26" s="193"/>
      <c r="BG26" s="623">
        <f>AI16</f>
        <v>2018</v>
      </c>
      <c r="BH26" s="607">
        <v>29025.622000000003</v>
      </c>
      <c r="BI26" s="607">
        <v>29025.622000000003</v>
      </c>
      <c r="BJ26" s="624">
        <f>(BI26-BH26)/BI26</f>
        <v>0</v>
      </c>
      <c r="BK26" s="537">
        <f>$AN$38</f>
        <v>0.96009999999999995</v>
      </c>
      <c r="BL26" s="624">
        <f>AZ41</f>
        <v>0.86006708523264808</v>
      </c>
      <c r="BM26" s="624">
        <f>ROUND(BJ26,4)*BK26*BL26</f>
        <v>0</v>
      </c>
      <c r="BN26" s="193"/>
      <c r="BO26" s="193"/>
      <c r="BP26" s="193"/>
      <c r="BQ26" s="193"/>
      <c r="BR26" s="193"/>
      <c r="BS26" s="193"/>
      <c r="BT26" s="294">
        <f>AI16</f>
        <v>2018</v>
      </c>
      <c r="BU26" s="193"/>
      <c r="BV26" s="624">
        <f>AP41</f>
        <v>0</v>
      </c>
      <c r="BW26" s="633"/>
      <c r="BX26" s="633">
        <f>BA41</f>
        <v>0</v>
      </c>
      <c r="BY26" s="633"/>
      <c r="BZ26" s="624">
        <f>BM26</f>
        <v>0</v>
      </c>
      <c r="CA26" s="634"/>
      <c r="CB26" s="193"/>
      <c r="CC26" s="193"/>
      <c r="CD26" s="193"/>
      <c r="CE26" s="193"/>
      <c r="CF26" s="534"/>
      <c r="CG26" s="193"/>
      <c r="CH26" s="705"/>
      <c r="CJ26" s="636"/>
      <c r="CK26" s="645"/>
      <c r="CL26" s="193"/>
      <c r="CM26" s="193"/>
      <c r="CN26" s="193"/>
      <c r="CO26" s="193"/>
      <c r="CP26" s="193"/>
      <c r="CQ26" s="193"/>
      <c r="CR26" s="193"/>
      <c r="CS26" s="193"/>
      <c r="CT26" s="193"/>
      <c r="CU26" s="193"/>
      <c r="CV26" s="641"/>
      <c r="CW26" s="641"/>
      <c r="CX26" s="641"/>
      <c r="CY26" s="641"/>
      <c r="CZ26" s="641"/>
      <c r="DA26" s="641"/>
      <c r="DB26" s="645"/>
      <c r="DC26" s="193"/>
      <c r="DD26" s="193"/>
      <c r="DE26" s="536"/>
      <c r="DF26" s="193"/>
      <c r="DG26" s="656"/>
      <c r="DH26" s="534"/>
      <c r="DI26" s="193"/>
      <c r="DJ26" s="193"/>
      <c r="DK26" s="193"/>
      <c r="DL26" s="193"/>
      <c r="DM26" s="193"/>
      <c r="DN26" s="193"/>
      <c r="DO26" s="193"/>
      <c r="DP26" s="193"/>
      <c r="DQ26" s="536"/>
      <c r="DR26" s="591" t="s">
        <v>113</v>
      </c>
      <c r="DS26" s="625"/>
      <c r="DT26" s="608">
        <f>AB37</f>
        <v>1331658</v>
      </c>
      <c r="DU26" s="283"/>
      <c r="DV26" s="283"/>
      <c r="DW26" s="608">
        <f>AD37</f>
        <v>2663316</v>
      </c>
      <c r="DX26" s="193"/>
      <c r="DY26" s="193"/>
      <c r="DZ26" s="193"/>
      <c r="EA26" s="193"/>
      <c r="EB26" s="193"/>
      <c r="EC26" s="193"/>
      <c r="ED26" s="193"/>
      <c r="EE26" s="193"/>
      <c r="EF26" s="193"/>
      <c r="EG26" s="193"/>
      <c r="EH26" s="193"/>
      <c r="EI26" s="193"/>
      <c r="EJ26" s="193"/>
      <c r="EK26" s="193"/>
      <c r="EL26" s="193"/>
      <c r="EM26" s="193"/>
      <c r="EN26" s="193"/>
      <c r="EO26" s="193"/>
      <c r="EP26" s="193"/>
      <c r="EQ26" s="193"/>
      <c r="ER26" s="193"/>
      <c r="ES26" s="193"/>
      <c r="ET26" s="193"/>
      <c r="EU26" s="193"/>
    </row>
    <row r="27" spans="1:151" ht="12.9">
      <c r="A27" s="193"/>
      <c r="B27" s="193"/>
      <c r="C27" s="193"/>
      <c r="D27" s="193"/>
      <c r="E27" s="193"/>
      <c r="F27" s="193"/>
      <c r="G27" s="193"/>
      <c r="H27" s="657" t="s">
        <v>416</v>
      </c>
      <c r="I27" s="193"/>
      <c r="J27" s="193"/>
      <c r="K27" s="193"/>
      <c r="L27" s="193"/>
      <c r="M27" s="653">
        <v>0.7</v>
      </c>
      <c r="N27" s="654">
        <f t="shared" si="1"/>
        <v>0.58599999999999997</v>
      </c>
      <c r="O27" s="625">
        <f>O21*N27</f>
        <v>0</v>
      </c>
      <c r="P27" s="625">
        <f>P21*N27</f>
        <v>0</v>
      </c>
      <c r="Q27" s="625">
        <f>N27*Q21</f>
        <v>0</v>
      </c>
      <c r="R27" s="625"/>
      <c r="S27" s="625">
        <f t="shared" si="0"/>
        <v>0</v>
      </c>
      <c r="T27" s="625">
        <f t="shared" si="0"/>
        <v>0</v>
      </c>
      <c r="U27" s="625">
        <f t="shared" si="0"/>
        <v>0</v>
      </c>
      <c r="V27" s="193"/>
      <c r="W27" s="193"/>
      <c r="X27" s="193"/>
      <c r="Y27" s="193"/>
      <c r="Z27" s="283" t="s">
        <v>108</v>
      </c>
      <c r="AA27" s="660">
        <v>0.87819776896733848</v>
      </c>
      <c r="AB27" s="658">
        <f>ROUND(AA27*$AB$22*2,0)</f>
        <v>985013</v>
      </c>
      <c r="AC27" s="193"/>
      <c r="AD27" s="658">
        <f>AB27*2</f>
        <v>1970026</v>
      </c>
      <c r="AE27" s="193"/>
      <c r="AF27" s="193"/>
      <c r="AG27" s="193"/>
      <c r="AH27" s="193"/>
      <c r="AI27" s="294">
        <f>AI15</f>
        <v>2017</v>
      </c>
      <c r="AJ27" s="607">
        <v>0</v>
      </c>
      <c r="AK27" s="607">
        <v>0</v>
      </c>
      <c r="AL27" s="607">
        <v>32249.693183519998</v>
      </c>
      <c r="AM27" s="607"/>
      <c r="AN27" s="607">
        <v>0</v>
      </c>
      <c r="AO27" s="607">
        <v>0</v>
      </c>
      <c r="AP27" s="607">
        <v>18262.454522715001</v>
      </c>
      <c r="AQ27" s="608">
        <f>SUM(AJ27:AP27)</f>
        <v>50512.147706235002</v>
      </c>
      <c r="AR27" s="193"/>
      <c r="AS27" s="193"/>
      <c r="AT27" s="193"/>
      <c r="AU27" s="294">
        <f>AU15</f>
        <v>2017</v>
      </c>
      <c r="AV27" s="613">
        <v>4719.0365318599997</v>
      </c>
      <c r="AW27" s="613">
        <v>7766.8561380680003</v>
      </c>
      <c r="AX27" s="614"/>
      <c r="AY27" s="613">
        <v>2455.06874217</v>
      </c>
      <c r="AZ27" s="613">
        <v>2909.9694719130002</v>
      </c>
      <c r="BA27" s="283"/>
      <c r="BB27" s="608">
        <f>AV27+AW27+AY27+AZ27</f>
        <v>17850.930884011002</v>
      </c>
      <c r="BC27" s="193"/>
      <c r="BD27" s="193"/>
      <c r="BE27" s="193"/>
      <c r="BF27" s="536"/>
      <c r="BG27" s="627"/>
      <c r="BH27" s="704"/>
      <c r="BI27" s="704"/>
      <c r="BJ27" s="628"/>
      <c r="BK27" s="629"/>
      <c r="BL27" s="628"/>
      <c r="BM27" s="628"/>
      <c r="BN27" s="193"/>
      <c r="BO27" s="193"/>
      <c r="BP27" s="193"/>
      <c r="BQ27" s="193"/>
      <c r="BR27" s="193"/>
      <c r="BS27" s="193"/>
      <c r="BT27" s="294"/>
      <c r="BU27" s="193"/>
      <c r="BV27" s="624"/>
      <c r="BW27" s="633"/>
      <c r="BX27" s="633"/>
      <c r="BY27" s="633"/>
      <c r="BZ27" s="624"/>
      <c r="CA27" s="634"/>
      <c r="CB27" s="193"/>
      <c r="CC27" s="193"/>
      <c r="CD27" s="193"/>
      <c r="CE27" s="193"/>
      <c r="CF27" s="193"/>
      <c r="CG27" s="193"/>
      <c r="CH27" s="707"/>
      <c r="CI27" s="708"/>
      <c r="CJ27" s="709"/>
      <c r="CK27" s="710"/>
      <c r="CL27" s="193"/>
      <c r="CM27" s="193"/>
      <c r="CN27" s="193"/>
      <c r="CO27" s="193"/>
      <c r="CP27" s="193"/>
      <c r="CQ27" s="193"/>
      <c r="CR27" s="193"/>
      <c r="CS27" s="193"/>
      <c r="CT27" s="193"/>
      <c r="CU27" s="193"/>
      <c r="CV27" s="641"/>
      <c r="CW27" s="641"/>
      <c r="CX27" s="641"/>
      <c r="CY27" s="641"/>
      <c r="CZ27" s="641"/>
      <c r="DA27" s="641"/>
      <c r="DB27" s="645"/>
      <c r="DC27" s="193"/>
      <c r="DD27" s="193"/>
      <c r="DE27" s="193"/>
      <c r="DF27" s="193"/>
      <c r="DG27" s="193"/>
      <c r="DH27" s="193"/>
      <c r="DI27" s="193"/>
      <c r="DJ27" s="193"/>
      <c r="DK27" s="193"/>
      <c r="DL27" s="193"/>
      <c r="DM27" s="193"/>
      <c r="DN27" s="193"/>
      <c r="DO27" s="193"/>
      <c r="DP27" s="193"/>
      <c r="DQ27" s="536"/>
      <c r="DR27" s="591"/>
      <c r="DS27" s="625"/>
      <c r="DT27" s="658"/>
      <c r="DU27" s="283"/>
      <c r="DV27" s="283"/>
      <c r="DW27" s="658"/>
      <c r="DX27" s="193"/>
      <c r="DY27" s="193"/>
      <c r="DZ27" s="193"/>
      <c r="EA27" s="193"/>
      <c r="EB27" s="193"/>
      <c r="EC27" s="193"/>
      <c r="ED27" s="193"/>
      <c r="EE27" s="193"/>
      <c r="EF27" s="193"/>
      <c r="EG27" s="193"/>
      <c r="EH27" s="193"/>
      <c r="EI27" s="193"/>
      <c r="EJ27" s="193"/>
      <c r="EK27" s="193"/>
      <c r="EL27" s="193"/>
      <c r="EM27" s="193"/>
      <c r="EN27" s="193"/>
      <c r="EO27" s="193"/>
      <c r="EP27" s="193"/>
      <c r="EQ27" s="193"/>
      <c r="ER27" s="193"/>
      <c r="ES27" s="193"/>
      <c r="ET27" s="193"/>
      <c r="EU27" s="193"/>
    </row>
    <row r="28" spans="1:151" ht="12.9">
      <c r="A28" s="536" t="s">
        <v>417</v>
      </c>
      <c r="B28" s="193"/>
      <c r="C28" s="652">
        <f>SUM(C24:C26)</f>
        <v>14</v>
      </c>
      <c r="D28" s="652">
        <f>SUM(D24:D26)</f>
        <v>76492.75534920799</v>
      </c>
      <c r="E28" s="294"/>
      <c r="F28" s="652">
        <f>SUM(F24:F26)</f>
        <v>32989.942384851005</v>
      </c>
      <c r="G28" s="652">
        <f>SUM(G24:G26)</f>
        <v>109482.69773405899</v>
      </c>
      <c r="H28" s="652">
        <f>IFERROR(ROUND(G28/C28,0),0)</f>
        <v>7820</v>
      </c>
      <c r="I28" s="193"/>
      <c r="J28" s="659"/>
      <c r="K28" s="193"/>
      <c r="L28" s="193"/>
      <c r="M28" s="653">
        <v>0.65</v>
      </c>
      <c r="N28" s="654">
        <f t="shared" si="1"/>
        <v>0.52400000000000002</v>
      </c>
      <c r="O28" s="625">
        <f>O21*N28</f>
        <v>0</v>
      </c>
      <c r="P28" s="625">
        <f>P21*N28</f>
        <v>0</v>
      </c>
      <c r="Q28" s="625">
        <f>N28*Q21</f>
        <v>0</v>
      </c>
      <c r="R28" s="625"/>
      <c r="S28" s="625">
        <f t="shared" si="0"/>
        <v>0</v>
      </c>
      <c r="T28" s="625">
        <f t="shared" si="0"/>
        <v>0</v>
      </c>
      <c r="U28" s="625">
        <f t="shared" si="0"/>
        <v>0</v>
      </c>
      <c r="V28" s="193"/>
      <c r="W28" s="193"/>
      <c r="X28" s="193"/>
      <c r="Y28" s="193"/>
      <c r="Z28" s="283"/>
      <c r="AA28" s="660"/>
      <c r="AB28" s="658"/>
      <c r="AC28" s="193"/>
      <c r="AD28" s="658" t="s">
        <v>418</v>
      </c>
      <c r="AE28" s="193"/>
      <c r="AF28" s="193"/>
      <c r="AG28" s="193"/>
      <c r="AH28" s="193"/>
      <c r="AI28" s="294">
        <f>AI16</f>
        <v>2018</v>
      </c>
      <c r="AJ28" s="607">
        <v>0</v>
      </c>
      <c r="AK28" s="607">
        <v>0</v>
      </c>
      <c r="AL28" s="607">
        <v>0</v>
      </c>
      <c r="AM28" s="607"/>
      <c r="AN28" s="607">
        <v>0</v>
      </c>
      <c r="AO28" s="607">
        <v>0</v>
      </c>
      <c r="AP28" s="607">
        <v>0</v>
      </c>
      <c r="AQ28" s="608">
        <f>SUM(AJ28:AP28)</f>
        <v>0</v>
      </c>
      <c r="AR28" s="193"/>
      <c r="AS28" s="193"/>
      <c r="AT28" s="193"/>
      <c r="AU28" s="294">
        <f>AU16</f>
        <v>2018</v>
      </c>
      <c r="AV28" s="613">
        <v>6142.4075822240002</v>
      </c>
      <c r="AW28" s="613">
        <v>7976.2624604199991</v>
      </c>
      <c r="AX28" s="614"/>
      <c r="AY28" s="613">
        <v>1760.0826158309999</v>
      </c>
      <c r="AZ28" s="613">
        <v>4929.1502459940002</v>
      </c>
      <c r="BA28" s="283"/>
      <c r="BB28" s="608">
        <f>AV28+AW28+AY28+AZ28</f>
        <v>20807.902904469</v>
      </c>
      <c r="BC28" s="193"/>
      <c r="BD28" s="193"/>
      <c r="BE28" s="193"/>
      <c r="BF28" s="193"/>
      <c r="BG28" s="623">
        <f>AI17</f>
        <v>2019</v>
      </c>
      <c r="BH28" s="607">
        <v>24714.555</v>
      </c>
      <c r="BI28" s="607">
        <v>24714.555</v>
      </c>
      <c r="BJ28" s="624">
        <f>(BI28-BH28)/BI28</f>
        <v>0</v>
      </c>
      <c r="BK28" s="537">
        <f>$AN$38</f>
        <v>0.96009999999999995</v>
      </c>
      <c r="BL28" s="624">
        <f>AZ42</f>
        <v>0.88754770568918073</v>
      </c>
      <c r="BM28" s="624">
        <f>ROUND(BJ28,4)*BK28*BL28</f>
        <v>0</v>
      </c>
      <c r="BN28" s="193"/>
      <c r="BO28" s="193"/>
      <c r="BP28" s="193"/>
      <c r="BQ28" s="193"/>
      <c r="BR28" s="193"/>
      <c r="BS28" s="193"/>
      <c r="BT28" s="294">
        <f>AI17</f>
        <v>2019</v>
      </c>
      <c r="BU28" s="193"/>
      <c r="BV28" s="624">
        <f>AP42</f>
        <v>0</v>
      </c>
      <c r="BW28" s="633"/>
      <c r="BX28" s="633">
        <f>BA42</f>
        <v>0</v>
      </c>
      <c r="BY28" s="633"/>
      <c r="BZ28" s="624">
        <f>BM28</f>
        <v>0</v>
      </c>
      <c r="CA28" s="634"/>
      <c r="CB28" s="193"/>
      <c r="CC28" s="193"/>
      <c r="CD28" s="193"/>
      <c r="CE28" s="193"/>
      <c r="CF28" s="193"/>
      <c r="CG28" s="193"/>
      <c r="CH28" s="708"/>
      <c r="CI28" s="708"/>
      <c r="CJ28" s="708"/>
      <c r="CK28" s="193"/>
      <c r="CL28" s="536"/>
      <c r="CM28" s="193"/>
      <c r="CN28" s="193"/>
      <c r="CO28" s="193"/>
      <c r="CP28" s="193"/>
      <c r="CQ28" s="193"/>
      <c r="CR28" s="536"/>
      <c r="CS28" s="193"/>
      <c r="CT28" s="595"/>
      <c r="CU28" s="594"/>
      <c r="CV28" s="641"/>
      <c r="CW28" s="639"/>
      <c r="CX28" s="661"/>
      <c r="CY28" s="641"/>
      <c r="CZ28" s="649"/>
      <c r="DA28" s="649"/>
      <c r="DB28" s="645"/>
      <c r="DC28" s="193"/>
      <c r="DD28" s="193"/>
      <c r="DE28" s="193"/>
      <c r="DF28" s="193"/>
      <c r="DG28" s="630"/>
      <c r="DH28" s="536"/>
      <c r="DI28" s="630"/>
      <c r="DJ28" s="193"/>
      <c r="DK28" s="193"/>
      <c r="DL28" s="193"/>
      <c r="DM28" s="193"/>
      <c r="DN28" s="193"/>
      <c r="DO28" s="193"/>
      <c r="DP28" s="193"/>
      <c r="DQ28" s="193"/>
      <c r="DR28" s="193"/>
      <c r="DS28" s="193"/>
      <c r="DT28" s="193"/>
      <c r="DU28" s="193"/>
      <c r="DV28" s="193"/>
      <c r="DW28" s="193"/>
      <c r="DX28" s="193"/>
      <c r="DY28" s="193"/>
      <c r="DZ28" s="193"/>
      <c r="EA28" s="193"/>
      <c r="EB28" s="193"/>
      <c r="EC28" s="193"/>
      <c r="ED28" s="193"/>
      <c r="EE28" s="193"/>
      <c r="EF28" s="193"/>
      <c r="EG28" s="193"/>
      <c r="EH28" s="193"/>
      <c r="EI28" s="193"/>
      <c r="EJ28" s="645"/>
      <c r="EK28" s="193"/>
      <c r="EL28" s="193"/>
      <c r="EM28" s="193"/>
      <c r="EN28" s="193"/>
      <c r="EO28" s="193"/>
      <c r="EP28" s="193"/>
      <c r="EQ28" s="193"/>
      <c r="ER28" s="193"/>
      <c r="ES28" s="193"/>
      <c r="ET28" s="193"/>
      <c r="EU28" s="193"/>
    </row>
    <row r="29" spans="1:151" ht="12.9">
      <c r="A29" s="193"/>
      <c r="B29" s="193"/>
      <c r="C29" s="193"/>
      <c r="D29" s="193"/>
      <c r="E29" s="193"/>
      <c r="F29" s="193"/>
      <c r="G29" s="193"/>
      <c r="H29" s="193"/>
      <c r="I29" s="193"/>
      <c r="J29" s="193"/>
      <c r="K29" s="193"/>
      <c r="L29" s="193"/>
      <c r="M29" s="653">
        <v>0.6</v>
      </c>
      <c r="N29" s="654">
        <f t="shared" si="1"/>
        <v>0.46500000000000002</v>
      </c>
      <c r="O29" s="625">
        <f>O21*N29</f>
        <v>0</v>
      </c>
      <c r="P29" s="625">
        <f>P21*N29</f>
        <v>0</v>
      </c>
      <c r="Q29" s="625">
        <f>N29*Q21</f>
        <v>0</v>
      </c>
      <c r="R29" s="625"/>
      <c r="S29" s="625">
        <f t="shared" si="0"/>
        <v>0</v>
      </c>
      <c r="T29" s="625">
        <f t="shared" si="0"/>
        <v>0</v>
      </c>
      <c r="U29" s="625">
        <f t="shared" si="0"/>
        <v>0</v>
      </c>
      <c r="V29" s="193"/>
      <c r="W29" s="193"/>
      <c r="X29" s="193"/>
      <c r="Y29" s="193"/>
      <c r="Z29" s="283" t="s">
        <v>109</v>
      </c>
      <c r="AA29" s="660">
        <v>0.93278695569558123</v>
      </c>
      <c r="AB29" s="658">
        <f>ROUND(AA29*$AB$22*2,0)</f>
        <v>1046242</v>
      </c>
      <c r="AC29" s="193"/>
      <c r="AD29" s="658">
        <f>AB29*2</f>
        <v>2092484</v>
      </c>
      <c r="AE29" s="193"/>
      <c r="AF29" s="193"/>
      <c r="AG29" s="193"/>
      <c r="AH29" s="193"/>
      <c r="AI29" s="294">
        <f>AI17</f>
        <v>2019</v>
      </c>
      <c r="AJ29" s="607">
        <v>0</v>
      </c>
      <c r="AK29" s="607">
        <v>0</v>
      </c>
      <c r="AL29" s="607">
        <v>6983.7335380279992</v>
      </c>
      <c r="AM29" s="607"/>
      <c r="AN29" s="607">
        <v>0</v>
      </c>
      <c r="AO29" s="607">
        <v>0</v>
      </c>
      <c r="AP29" s="607">
        <v>2625.4542389759999</v>
      </c>
      <c r="AQ29" s="608">
        <f>SUM(AJ29:AP29)</f>
        <v>9609.1877770039991</v>
      </c>
      <c r="AR29" s="193"/>
      <c r="AS29" s="193"/>
      <c r="AT29" s="193"/>
      <c r="AU29" s="294">
        <f>AU17</f>
        <v>2019</v>
      </c>
      <c r="AV29" s="613">
        <v>12468.399262716001</v>
      </c>
      <c r="AW29" s="613">
        <v>7718.9649168880014</v>
      </c>
      <c r="AX29" s="614"/>
      <c r="AY29" s="613">
        <v>3112.067891829</v>
      </c>
      <c r="AZ29" s="613">
        <v>5372.0190104189996</v>
      </c>
      <c r="BA29" s="283"/>
      <c r="BB29" s="608">
        <f>AV29+AW29+AY29+AZ29</f>
        <v>28671.451081852003</v>
      </c>
      <c r="BC29" s="193"/>
      <c r="BD29" s="193"/>
      <c r="BE29" s="193"/>
      <c r="BF29" s="536"/>
      <c r="BG29" s="662"/>
      <c r="BH29" s="663"/>
      <c r="BI29" s="663"/>
      <c r="BJ29" s="662"/>
      <c r="BK29" s="662"/>
      <c r="BL29" s="662"/>
      <c r="BM29" s="664"/>
      <c r="BN29" s="193"/>
      <c r="BO29" s="193"/>
      <c r="BP29" s="193"/>
      <c r="BQ29" s="193"/>
      <c r="BR29" s="193"/>
      <c r="BS29" s="193"/>
      <c r="BT29" s="193"/>
      <c r="BU29" s="193"/>
      <c r="BV29" s="193"/>
      <c r="BW29" s="193"/>
      <c r="BX29" s="193"/>
      <c r="BY29" s="193"/>
      <c r="BZ29" s="193"/>
      <c r="CA29" s="193"/>
      <c r="CB29" s="193"/>
      <c r="CC29" s="193"/>
      <c r="CD29" s="193"/>
      <c r="CE29" s="193"/>
      <c r="CF29" s="193"/>
      <c r="CG29" s="193"/>
      <c r="CH29" s="643"/>
      <c r="CI29" s="534"/>
      <c r="CJ29" s="644"/>
      <c r="CK29" s="644"/>
      <c r="CL29" s="193"/>
      <c r="CM29" s="193"/>
      <c r="CN29" s="193"/>
      <c r="CO29" s="193"/>
      <c r="CP29" s="193"/>
      <c r="CQ29" s="193"/>
      <c r="CR29" s="193"/>
      <c r="CS29" s="193"/>
      <c r="CT29" s="193"/>
      <c r="CU29" s="594"/>
      <c r="CV29" s="641"/>
      <c r="CW29" s="639"/>
      <c r="CX29" s="661"/>
      <c r="CY29" s="648"/>
      <c r="CZ29" s="641"/>
      <c r="DA29" s="641"/>
      <c r="DB29" s="645"/>
      <c r="DC29" s="193"/>
      <c r="DD29" s="193"/>
      <c r="DE29" s="193"/>
      <c r="DF29" s="193"/>
      <c r="DG29" s="193"/>
      <c r="DH29" s="193"/>
      <c r="DI29" s="193"/>
      <c r="DJ29" s="193"/>
      <c r="DK29" s="193"/>
      <c r="DL29" s="193"/>
      <c r="DM29" s="193"/>
      <c r="DN29" s="193"/>
      <c r="DO29" s="193"/>
      <c r="DP29" s="193"/>
      <c r="DQ29" s="193"/>
      <c r="DR29" s="193"/>
      <c r="DS29" s="535" t="s">
        <v>114</v>
      </c>
      <c r="DT29" s="193"/>
      <c r="DU29" s="193"/>
      <c r="DV29" s="193"/>
      <c r="DW29" s="193"/>
      <c r="DX29" s="193"/>
      <c r="DY29" s="193"/>
      <c r="DZ29" s="193"/>
      <c r="EA29" s="193"/>
      <c r="EB29" s="193"/>
      <c r="EC29" s="193"/>
      <c r="ED29" s="193"/>
      <c r="EE29" s="193"/>
      <c r="EF29" s="193"/>
      <c r="EG29" s="193"/>
      <c r="EH29" s="193"/>
      <c r="EI29" s="193"/>
      <c r="EJ29" s="645"/>
      <c r="EK29" s="193"/>
      <c r="EL29" s="193"/>
      <c r="EM29" s="193"/>
      <c r="EN29" s="193"/>
      <c r="EO29" s="193"/>
      <c r="EP29" s="193"/>
      <c r="EQ29" s="193"/>
      <c r="ER29" s="193"/>
      <c r="ES29" s="193"/>
      <c r="ET29" s="193"/>
      <c r="EU29" s="193"/>
    </row>
    <row r="30" spans="1:151" ht="12.9">
      <c r="A30" s="193"/>
      <c r="B30" s="193"/>
      <c r="C30" s="193"/>
      <c r="D30" s="193"/>
      <c r="E30" s="193"/>
      <c r="F30" s="193"/>
      <c r="G30" s="193"/>
      <c r="H30" s="193"/>
      <c r="I30" s="193"/>
      <c r="J30" s="193"/>
      <c r="K30" s="193"/>
      <c r="L30" s="193"/>
      <c r="M30" s="653">
        <v>0.55000000000000004</v>
      </c>
      <c r="N30" s="654">
        <f t="shared" si="1"/>
        <v>0.40799999999999997</v>
      </c>
      <c r="O30" s="625">
        <f>O21*N30</f>
        <v>0</v>
      </c>
      <c r="P30" s="625">
        <f>P21*N30</f>
        <v>0</v>
      </c>
      <c r="Q30" s="625">
        <f>N30*Q21</f>
        <v>0</v>
      </c>
      <c r="R30" s="625"/>
      <c r="S30" s="625">
        <f t="shared" si="0"/>
        <v>0</v>
      </c>
      <c r="T30" s="625">
        <f t="shared" si="0"/>
        <v>0</v>
      </c>
      <c r="U30" s="625">
        <f t="shared" si="0"/>
        <v>0</v>
      </c>
      <c r="V30" s="193"/>
      <c r="W30" s="193"/>
      <c r="X30" s="193"/>
      <c r="Y30" s="193"/>
      <c r="Z30" s="283"/>
      <c r="AA30" s="660"/>
      <c r="AB30" s="658"/>
      <c r="AC30" s="193"/>
      <c r="AD30" s="658" t="s">
        <v>422</v>
      </c>
      <c r="AE30" s="193"/>
      <c r="AF30" s="193"/>
      <c r="AG30" s="193"/>
      <c r="AH30" s="193"/>
      <c r="AI30" s="193"/>
      <c r="AJ30" s="292"/>
      <c r="AK30" s="292"/>
      <c r="AL30" s="292"/>
      <c r="AM30" s="292"/>
      <c r="AN30" s="292"/>
      <c r="AO30" s="292"/>
      <c r="AP30" s="292"/>
      <c r="AQ30" s="292"/>
      <c r="AR30" s="605"/>
      <c r="AS30" s="193"/>
      <c r="AT30" s="193"/>
      <c r="AU30" s="292"/>
      <c r="AV30" s="292"/>
      <c r="AW30" s="292"/>
      <c r="AX30" s="292"/>
      <c r="AY30" s="292"/>
      <c r="AZ30" s="292"/>
      <c r="BA30" s="193"/>
      <c r="BB30" s="193"/>
      <c r="BC30" s="193"/>
      <c r="BD30" s="193"/>
      <c r="BE30" s="193"/>
      <c r="BF30" s="193"/>
      <c r="BG30" s="193"/>
      <c r="BH30" s="292"/>
      <c r="BI30" s="292"/>
      <c r="BJ30" s="193"/>
      <c r="BK30" s="193"/>
      <c r="BL30" s="193"/>
      <c r="BM30" s="193"/>
      <c r="BN30" s="193"/>
      <c r="BO30" s="193"/>
      <c r="BP30" s="193"/>
      <c r="BQ30" s="193"/>
      <c r="BR30" s="193"/>
      <c r="BS30" s="193"/>
      <c r="BT30" s="193"/>
      <c r="BU30" s="193"/>
      <c r="BV30" s="193"/>
      <c r="BW30" s="193"/>
      <c r="BX30" s="193"/>
      <c r="BY30" s="193"/>
      <c r="BZ30" s="193"/>
      <c r="CA30" s="193"/>
      <c r="CB30" s="193"/>
      <c r="CC30" s="193"/>
      <c r="CD30" s="193"/>
      <c r="CE30" s="193"/>
      <c r="CF30" s="193"/>
      <c r="CG30" s="193"/>
      <c r="CH30" s="193"/>
      <c r="CI30" s="193"/>
      <c r="CJ30" s="193"/>
      <c r="CK30" s="193"/>
      <c r="CL30" s="193"/>
      <c r="CM30" s="193"/>
      <c r="CN30" s="193"/>
      <c r="CO30" s="193"/>
      <c r="CP30" s="193"/>
      <c r="CQ30" s="193"/>
      <c r="CR30" s="193"/>
      <c r="CS30" s="193"/>
      <c r="CT30" s="193"/>
      <c r="CU30" s="193"/>
      <c r="CV30" s="641"/>
      <c r="CW30" s="641"/>
      <c r="CX30" s="641"/>
      <c r="CY30" s="641"/>
      <c r="CZ30" s="641"/>
      <c r="DA30" s="641"/>
      <c r="DB30" s="645"/>
      <c r="DC30" s="193"/>
      <c r="DD30" s="193"/>
      <c r="DE30" s="193"/>
      <c r="DF30" s="193"/>
      <c r="DG30" s="193"/>
      <c r="DH30" s="193"/>
      <c r="DI30" s="193"/>
      <c r="DJ30" s="193"/>
      <c r="DK30" s="193"/>
      <c r="DL30" s="193"/>
      <c r="DM30" s="193"/>
      <c r="DN30" s="193"/>
      <c r="DO30" s="193"/>
      <c r="DP30" s="222" t="s">
        <v>115</v>
      </c>
      <c r="DQ30" s="201"/>
      <c r="DR30" s="201"/>
      <c r="DS30" s="201"/>
      <c r="DT30" s="201"/>
      <c r="DU30" s="201"/>
      <c r="DV30" s="201"/>
      <c r="DW30" s="201"/>
      <c r="DX30" s="201"/>
      <c r="DY30" s="201"/>
      <c r="DZ30" s="665"/>
      <c r="EA30" s="193"/>
      <c r="EB30" s="193"/>
      <c r="EC30" s="666"/>
      <c r="ED30" s="193"/>
      <c r="EE30" s="193"/>
      <c r="EF30" s="193"/>
      <c r="EG30" s="193"/>
      <c r="EH30" s="193"/>
      <c r="EI30" s="193"/>
      <c r="EJ30" s="645"/>
      <c r="EK30" s="193"/>
      <c r="EL30" s="193"/>
      <c r="EM30" s="193"/>
      <c r="EN30" s="193"/>
      <c r="EO30" s="193"/>
      <c r="EP30" s="193"/>
      <c r="EQ30" s="193"/>
      <c r="ER30" s="193"/>
      <c r="ES30" s="193"/>
      <c r="ET30" s="193"/>
      <c r="EU30" s="193"/>
    </row>
    <row r="31" spans="1:151" ht="12.9">
      <c r="A31" s="536" t="s">
        <v>10</v>
      </c>
      <c r="B31" s="193"/>
      <c r="C31" s="650">
        <v>30</v>
      </c>
      <c r="D31" s="650">
        <v>37719.267408719999</v>
      </c>
      <c r="E31" s="651"/>
      <c r="F31" s="650">
        <v>12525.741222749999</v>
      </c>
      <c r="G31" s="652">
        <f>SUM(D31:F31)</f>
        <v>50245.008631470002</v>
      </c>
      <c r="H31" s="652">
        <f>ROUND(G31/C31,0)</f>
        <v>1675</v>
      </c>
      <c r="I31" s="193"/>
      <c r="J31" s="193"/>
      <c r="K31" s="193"/>
      <c r="L31" s="193"/>
      <c r="M31" s="653">
        <v>0.5</v>
      </c>
      <c r="N31" s="654">
        <f t="shared" si="1"/>
        <v>0.35399999999999998</v>
      </c>
      <c r="O31" s="625">
        <f>O21*N31</f>
        <v>0</v>
      </c>
      <c r="P31" s="625">
        <f>P21*N31</f>
        <v>0</v>
      </c>
      <c r="Q31" s="625">
        <f>N31*Q21</f>
        <v>0</v>
      </c>
      <c r="R31" s="625"/>
      <c r="S31" s="625">
        <f t="shared" si="0"/>
        <v>0</v>
      </c>
      <c r="T31" s="625">
        <f t="shared" si="0"/>
        <v>0</v>
      </c>
      <c r="U31" s="625">
        <f t="shared" si="0"/>
        <v>0</v>
      </c>
      <c r="V31" s="193"/>
      <c r="W31" s="193"/>
      <c r="X31" s="193"/>
      <c r="Y31" s="193"/>
      <c r="Z31" s="283" t="s">
        <v>110</v>
      </c>
      <c r="AA31" s="660">
        <v>0.99076943196856393</v>
      </c>
      <c r="AB31" s="658">
        <f>ROUND(AA31*$AB$22*2,0)</f>
        <v>1111277</v>
      </c>
      <c r="AC31" s="193"/>
      <c r="AD31" s="658">
        <f>AB31*2</f>
        <v>2222554</v>
      </c>
      <c r="AE31" s="193"/>
      <c r="AF31" s="193"/>
      <c r="AG31" s="193"/>
      <c r="AH31" s="193"/>
      <c r="AI31" s="193"/>
      <c r="AJ31" s="292"/>
      <c r="AK31" s="292"/>
      <c r="AL31" s="292"/>
      <c r="AM31" s="292"/>
      <c r="AN31" s="292"/>
      <c r="AO31" s="292"/>
      <c r="AP31" s="292"/>
      <c r="AQ31" s="193"/>
      <c r="AR31" s="193"/>
      <c r="AS31" s="193"/>
      <c r="AT31" s="193"/>
      <c r="AU31" s="193"/>
      <c r="AV31" s="193"/>
      <c r="AW31" s="193"/>
      <c r="AX31" s="193"/>
      <c r="AY31" s="193"/>
      <c r="AZ31" s="193"/>
      <c r="BA31" s="193"/>
      <c r="BB31" s="193"/>
      <c r="BC31" s="193"/>
      <c r="BD31" s="193"/>
      <c r="BE31" s="193"/>
      <c r="BF31" s="193"/>
      <c r="BG31" s="193"/>
      <c r="BH31" s="193"/>
      <c r="BI31" s="193"/>
      <c r="BJ31" s="193"/>
      <c r="BK31" s="193"/>
      <c r="BL31" s="193"/>
      <c r="BM31" s="193"/>
      <c r="BN31" s="193"/>
      <c r="BO31" s="193"/>
      <c r="BP31" s="193"/>
      <c r="BQ31" s="193"/>
      <c r="BR31" s="193"/>
      <c r="BS31" s="193"/>
      <c r="BT31" s="193"/>
      <c r="BU31" s="193"/>
      <c r="BV31" s="193"/>
      <c r="BW31" s="193"/>
      <c r="BX31" s="193"/>
      <c r="BY31" s="193"/>
      <c r="BZ31" s="193"/>
      <c r="CA31" s="193"/>
      <c r="CB31" s="193"/>
      <c r="CC31" s="193"/>
      <c r="CD31" s="193"/>
      <c r="CE31" s="193"/>
      <c r="CF31" s="193"/>
      <c r="CG31" s="193"/>
      <c r="CH31" s="193"/>
      <c r="CI31" s="193"/>
      <c r="CJ31" s="193"/>
      <c r="CK31" s="193"/>
      <c r="CL31" s="193"/>
      <c r="CM31" s="193"/>
      <c r="CN31" s="193"/>
      <c r="CO31" s="193"/>
      <c r="CP31" s="193" t="s">
        <v>419</v>
      </c>
      <c r="CQ31" s="193"/>
      <c r="CR31" s="193"/>
      <c r="CS31" s="193"/>
      <c r="CT31" s="193"/>
      <c r="CU31" s="193"/>
      <c r="CV31" s="641"/>
      <c r="CW31" s="641"/>
      <c r="CX31" s="641"/>
      <c r="CY31" s="641"/>
      <c r="CZ31" s="641"/>
      <c r="DA31" s="641"/>
      <c r="DB31" s="645"/>
      <c r="DC31" s="193"/>
      <c r="DD31" s="193"/>
      <c r="DL31" s="193"/>
      <c r="DM31" s="193"/>
      <c r="DN31" s="193"/>
      <c r="DO31" s="193"/>
      <c r="DP31" s="193"/>
      <c r="DQ31" s="601" t="s">
        <v>116</v>
      </c>
      <c r="DR31" s="283"/>
      <c r="DS31" s="283"/>
      <c r="DT31" s="283"/>
      <c r="DU31" s="283"/>
      <c r="DV31" s="283"/>
      <c r="DW31" s="283"/>
      <c r="DX31" s="283"/>
      <c r="DY31" s="601" t="s">
        <v>117</v>
      </c>
      <c r="DZ31" s="667" t="s">
        <v>2</v>
      </c>
      <c r="EA31" s="193"/>
      <c r="EB31" s="193"/>
      <c r="EC31" s="193"/>
      <c r="ED31" s="193"/>
      <c r="EE31" s="193"/>
      <c r="EF31" s="193"/>
      <c r="EG31" s="193"/>
      <c r="EH31" s="193"/>
      <c r="EI31" s="193"/>
      <c r="EJ31" s="645"/>
      <c r="EK31" s="193"/>
      <c r="EL31" s="193"/>
      <c r="EM31" s="193"/>
      <c r="EN31" s="193"/>
      <c r="EO31" s="193"/>
      <c r="EP31" s="193"/>
      <c r="EQ31" s="193"/>
      <c r="ER31" s="193"/>
      <c r="ES31" s="193"/>
      <c r="ET31" s="193"/>
      <c r="EU31" s="193"/>
    </row>
    <row r="32" spans="1:151" ht="12.9">
      <c r="A32" s="536" t="s">
        <v>420</v>
      </c>
      <c r="B32" s="193"/>
      <c r="C32" s="650">
        <v>154</v>
      </c>
      <c r="D32" s="650">
        <v>43925.243985575995</v>
      </c>
      <c r="E32" s="651"/>
      <c r="F32" s="650">
        <v>25005.371858874001</v>
      </c>
      <c r="G32" s="652">
        <f>SUM(D32:F32)</f>
        <v>68930.615844449989</v>
      </c>
      <c r="H32" s="652">
        <f>ROUND(G32/C32,0)</f>
        <v>448</v>
      </c>
      <c r="I32" s="193"/>
      <c r="J32" s="193"/>
      <c r="K32" s="193"/>
      <c r="L32" s="193"/>
      <c r="M32" s="653">
        <v>0.45</v>
      </c>
      <c r="N32" s="654">
        <f t="shared" si="1"/>
        <v>0.30199999999999999</v>
      </c>
      <c r="O32" s="625">
        <f>O21*N32</f>
        <v>0</v>
      </c>
      <c r="P32" s="625">
        <f>P21*N32</f>
        <v>0</v>
      </c>
      <c r="Q32" s="625">
        <f>N32*Q21</f>
        <v>0</v>
      </c>
      <c r="R32" s="625"/>
      <c r="S32" s="625">
        <f t="shared" si="0"/>
        <v>0</v>
      </c>
      <c r="T32" s="625">
        <f t="shared" si="0"/>
        <v>0</v>
      </c>
      <c r="U32" s="625">
        <f t="shared" si="0"/>
        <v>0</v>
      </c>
      <c r="V32" s="193"/>
      <c r="W32" s="193"/>
      <c r="X32" s="193"/>
      <c r="Y32" s="193"/>
      <c r="Z32" s="283"/>
      <c r="AA32" s="671"/>
      <c r="AB32" s="658"/>
      <c r="AC32" s="193"/>
      <c r="AD32" s="283"/>
      <c r="AE32" s="193"/>
      <c r="AF32" s="193"/>
      <c r="AG32" s="193"/>
      <c r="AH32" s="193"/>
      <c r="AI32" s="193"/>
      <c r="AJ32" s="193"/>
      <c r="AK32" s="193"/>
      <c r="AL32" s="193"/>
      <c r="AM32" s="193"/>
      <c r="AN32" s="193"/>
      <c r="AO32" s="193"/>
      <c r="AP32" s="193"/>
      <c r="AQ32" s="193"/>
      <c r="AR32" s="605"/>
      <c r="AS32" s="193"/>
      <c r="AT32" s="193"/>
      <c r="AU32" s="193"/>
      <c r="AV32" s="193"/>
      <c r="AW32" s="193"/>
      <c r="AX32" s="193"/>
      <c r="AY32" s="193"/>
      <c r="AZ32" s="193"/>
      <c r="BA32" s="193"/>
      <c r="BB32" s="193"/>
      <c r="BC32" s="193"/>
      <c r="BD32" s="193"/>
      <c r="BE32" s="193"/>
      <c r="BF32" s="193"/>
      <c r="BG32" s="193"/>
      <c r="BH32" s="193"/>
      <c r="BI32" s="193"/>
      <c r="BJ32" s="193"/>
      <c r="BK32" s="193"/>
      <c r="BL32" s="193"/>
      <c r="BM32" s="193"/>
      <c r="BN32" s="193"/>
      <c r="BO32" s="193"/>
      <c r="BP32" s="193"/>
      <c r="BQ32" s="193"/>
      <c r="BR32" s="193"/>
      <c r="BS32" s="193"/>
      <c r="BT32" s="193"/>
      <c r="BU32" s="193"/>
      <c r="BV32" s="193"/>
      <c r="BW32" s="193"/>
      <c r="BX32" s="193"/>
      <c r="BY32" s="193"/>
      <c r="BZ32" s="193"/>
      <c r="CA32" s="193"/>
      <c r="CB32" s="193"/>
      <c r="CC32" s="193"/>
      <c r="CD32" s="193"/>
      <c r="CE32" s="193"/>
      <c r="CF32" s="193"/>
      <c r="CG32" s="193"/>
      <c r="CH32" s="193"/>
      <c r="CI32" s="193"/>
      <c r="CJ32" s="193"/>
      <c r="CK32" s="193"/>
      <c r="CL32" s="193"/>
      <c r="CM32" s="193"/>
      <c r="CN32" s="193"/>
      <c r="CO32" s="193"/>
      <c r="CP32" s="193" t="s">
        <v>421</v>
      </c>
      <c r="CQ32" s="193"/>
      <c r="CR32" s="193"/>
      <c r="CS32" s="193"/>
      <c r="CT32" s="193"/>
      <c r="CU32" s="193"/>
      <c r="CV32" s="641"/>
      <c r="CW32" s="641"/>
      <c r="CX32" s="641"/>
      <c r="CY32" s="641"/>
      <c r="CZ32" s="641"/>
      <c r="DA32" s="641"/>
      <c r="DB32" s="645"/>
      <c r="DC32" s="193"/>
      <c r="DD32" s="193"/>
      <c r="DL32" s="193"/>
      <c r="DM32" s="193"/>
      <c r="DN32" s="193"/>
      <c r="DO32" s="193"/>
      <c r="DP32" s="193"/>
      <c r="DQ32" s="601" t="s">
        <v>118</v>
      </c>
      <c r="DR32" s="283"/>
      <c r="DS32" s="601" t="s">
        <v>31</v>
      </c>
      <c r="DT32" s="283"/>
      <c r="DU32" s="283"/>
      <c r="DV32" s="601" t="s">
        <v>119</v>
      </c>
      <c r="DW32" s="283"/>
      <c r="DX32" s="283"/>
      <c r="DY32" s="601" t="s">
        <v>120</v>
      </c>
      <c r="DZ32" s="667" t="s">
        <v>121</v>
      </c>
      <c r="EA32" s="193"/>
      <c r="EB32" s="193"/>
      <c r="EC32" s="193"/>
      <c r="ED32" s="193"/>
      <c r="EE32" s="193"/>
      <c r="EF32" s="193"/>
      <c r="EG32" s="193"/>
      <c r="EH32" s="193"/>
      <c r="EI32" s="193"/>
      <c r="EJ32" s="193"/>
      <c r="EK32" s="193"/>
      <c r="EL32" s="193"/>
      <c r="EM32" s="193"/>
      <c r="EN32" s="193"/>
      <c r="EO32" s="193"/>
      <c r="EP32" s="193"/>
      <c r="EQ32" s="193"/>
      <c r="ER32" s="193"/>
      <c r="ES32" s="193"/>
      <c r="ET32" s="193"/>
      <c r="EU32" s="193"/>
    </row>
    <row r="33" spans="1:151" ht="12.9">
      <c r="A33" s="193"/>
      <c r="B33" s="193"/>
      <c r="C33" s="193"/>
      <c r="D33" s="193"/>
      <c r="E33" s="193"/>
      <c r="F33" s="193"/>
      <c r="G33" s="294"/>
      <c r="H33" s="668" t="s">
        <v>416</v>
      </c>
      <c r="I33" s="193"/>
      <c r="J33" s="193"/>
      <c r="K33" s="193"/>
      <c r="L33" s="193"/>
      <c r="M33" s="653">
        <v>0.4</v>
      </c>
      <c r="N33" s="654">
        <f t="shared" si="1"/>
        <v>0.253</v>
      </c>
      <c r="O33" s="625">
        <f>O21*N33</f>
        <v>0</v>
      </c>
      <c r="P33" s="625">
        <f>P21*N33</f>
        <v>0</v>
      </c>
      <c r="Q33" s="625">
        <f>N33*Q21</f>
        <v>0</v>
      </c>
      <c r="R33" s="625"/>
      <c r="S33" s="625">
        <f t="shared" si="0"/>
        <v>0</v>
      </c>
      <c r="T33" s="625">
        <f t="shared" si="0"/>
        <v>0</v>
      </c>
      <c r="U33" s="625">
        <f t="shared" si="0"/>
        <v>0</v>
      </c>
      <c r="V33" s="193"/>
      <c r="W33" s="193"/>
      <c r="X33" s="193"/>
      <c r="Y33" s="193"/>
      <c r="Z33" s="283" t="s">
        <v>111</v>
      </c>
      <c r="AA33" s="660">
        <v>1.0523561262617698</v>
      </c>
      <c r="AB33" s="658">
        <f>ROUND(AA33*$AB$22*2,0)</f>
        <v>1180354</v>
      </c>
      <c r="AC33" s="193"/>
      <c r="AD33" s="658">
        <f>AB33*2</f>
        <v>2360708</v>
      </c>
      <c r="AE33" s="193"/>
      <c r="AF33" s="193"/>
      <c r="AG33" s="193"/>
      <c r="AH33" s="193"/>
      <c r="AI33" s="193"/>
      <c r="AJ33" s="222" t="s">
        <v>423</v>
      </c>
      <c r="AK33" s="201"/>
      <c r="AL33" s="193"/>
      <c r="AM33" s="193"/>
      <c r="AN33" s="193"/>
      <c r="AO33" s="283" t="s">
        <v>424</v>
      </c>
      <c r="AP33" s="283" t="s">
        <v>425</v>
      </c>
      <c r="AQ33" s="605"/>
      <c r="AR33" s="605"/>
      <c r="AS33" s="193"/>
      <c r="AT33" s="193"/>
      <c r="AU33" s="193"/>
      <c r="AV33" s="222" t="s">
        <v>423</v>
      </c>
      <c r="AW33" s="201"/>
      <c r="AX33" s="193"/>
      <c r="AY33" s="193"/>
      <c r="AZ33" s="283" t="s">
        <v>424</v>
      </c>
      <c r="BA33" s="283" t="s">
        <v>447</v>
      </c>
      <c r="BB33" s="193"/>
      <c r="BC33" s="193"/>
      <c r="BD33" s="193"/>
      <c r="BE33" s="193"/>
      <c r="BF33" s="193"/>
      <c r="BG33" s="193"/>
      <c r="BJ33" s="193"/>
      <c r="BK33" s="193"/>
      <c r="BL33" s="193"/>
      <c r="BM33" s="193"/>
      <c r="BN33" s="193"/>
      <c r="BO33" s="193"/>
      <c r="BP33" s="193"/>
      <c r="BQ33" s="193"/>
      <c r="BR33" s="193"/>
      <c r="BS33" s="193"/>
      <c r="BT33" s="193"/>
      <c r="BU33" s="193"/>
      <c r="BV33" s="193"/>
      <c r="BW33" s="193"/>
      <c r="BX33" s="193"/>
      <c r="BY33" s="193"/>
      <c r="BZ33" s="193"/>
      <c r="CA33" s="193"/>
      <c r="CB33" s="193"/>
      <c r="CC33" s="193"/>
      <c r="CD33" s="193"/>
      <c r="CE33" s="193"/>
      <c r="CF33" s="193"/>
      <c r="CG33" s="193"/>
      <c r="CH33" s="193"/>
      <c r="CI33" s="193"/>
      <c r="CJ33" s="193"/>
      <c r="CK33" s="193"/>
      <c r="CL33" s="193"/>
      <c r="CM33" s="193"/>
      <c r="CN33" s="193"/>
      <c r="CO33" s="193"/>
      <c r="CP33" s="193" t="s">
        <v>426</v>
      </c>
      <c r="CQ33" s="193"/>
      <c r="CR33" s="193"/>
      <c r="CS33" s="193"/>
      <c r="CT33" s="193"/>
      <c r="CU33" s="193"/>
      <c r="CV33" s="641"/>
      <c r="CW33" s="641"/>
      <c r="CX33" s="641"/>
      <c r="CY33" s="641"/>
      <c r="CZ33" s="641"/>
      <c r="DA33" s="641"/>
      <c r="DB33" s="645"/>
      <c r="DC33" s="193"/>
      <c r="DD33" s="193"/>
      <c r="DE33" s="536"/>
      <c r="DF33" s="193"/>
      <c r="DG33" s="669"/>
      <c r="DH33" s="534"/>
      <c r="DI33" s="193"/>
      <c r="DJ33" s="193"/>
      <c r="DK33" s="193"/>
      <c r="DL33" s="193"/>
      <c r="DM33" s="193"/>
      <c r="DN33" s="193"/>
      <c r="DO33" s="193"/>
      <c r="DP33" s="193"/>
      <c r="DQ33" s="193"/>
      <c r="DR33" s="193"/>
      <c r="DS33" s="193"/>
      <c r="DT33" s="193"/>
      <c r="DU33" s="193"/>
      <c r="DV33" s="193"/>
      <c r="DW33" s="193"/>
      <c r="DX33" s="193"/>
      <c r="DY33" s="193"/>
      <c r="DZ33" s="193"/>
      <c r="EA33" s="193"/>
      <c r="EB33" s="193"/>
      <c r="EC33" s="193"/>
      <c r="ED33" s="193"/>
      <c r="EE33" s="193"/>
      <c r="EF33" s="193"/>
      <c r="EG33" s="193"/>
      <c r="EH33" s="193"/>
      <c r="EI33" s="193"/>
      <c r="EJ33" s="193"/>
      <c r="EK33" s="193"/>
      <c r="EL33" s="193"/>
      <c r="EM33" s="193"/>
      <c r="EN33" s="193"/>
      <c r="EO33" s="193"/>
      <c r="EP33" s="193"/>
      <c r="EQ33" s="193"/>
      <c r="ER33" s="193"/>
      <c r="ES33" s="193"/>
      <c r="ET33" s="193"/>
      <c r="EU33" s="193"/>
    </row>
    <row r="34" spans="1:151" ht="12.9">
      <c r="A34" s="536" t="s">
        <v>427</v>
      </c>
      <c r="B34" s="193"/>
      <c r="C34" s="652">
        <f>SUM(C31:C32)</f>
        <v>184</v>
      </c>
      <c r="D34" s="652">
        <f>SUM(D31:D32)</f>
        <v>81644.511394295987</v>
      </c>
      <c r="E34" s="294"/>
      <c r="F34" s="652">
        <f>SUM(F31:F32)</f>
        <v>37531.113081624004</v>
      </c>
      <c r="G34" s="652">
        <f>SUM(G31:G32)</f>
        <v>119175.62447591999</v>
      </c>
      <c r="H34" s="652">
        <f>ROUND(G34/C34,0)</f>
        <v>648</v>
      </c>
      <c r="I34" s="193"/>
      <c r="J34" s="659"/>
      <c r="K34" s="193"/>
      <c r="L34" s="193"/>
      <c r="M34" s="653">
        <v>0.35</v>
      </c>
      <c r="N34" s="654">
        <f t="shared" si="1"/>
        <v>0.20699999999999999</v>
      </c>
      <c r="O34" s="625">
        <f>O21*N34</f>
        <v>0</v>
      </c>
      <c r="P34" s="625">
        <f>P21*N34</f>
        <v>0</v>
      </c>
      <c r="Q34" s="625">
        <f>N34*Q21</f>
        <v>0</v>
      </c>
      <c r="R34" s="625"/>
      <c r="S34" s="625">
        <f t="shared" si="0"/>
        <v>0</v>
      </c>
      <c r="T34" s="625">
        <f t="shared" si="0"/>
        <v>0</v>
      </c>
      <c r="U34" s="625">
        <f t="shared" si="0"/>
        <v>0</v>
      </c>
      <c r="V34" s="193"/>
      <c r="W34" s="193"/>
      <c r="X34" s="193"/>
      <c r="Y34" s="193"/>
      <c r="Z34" s="283"/>
      <c r="AA34" s="660"/>
      <c r="AB34" s="658"/>
      <c r="AD34" s="408"/>
      <c r="AE34" s="193"/>
      <c r="AF34" s="193"/>
      <c r="AG34" s="193"/>
      <c r="AH34" s="193"/>
      <c r="AI34" s="283" t="s">
        <v>428</v>
      </c>
      <c r="AJ34" s="283" t="s">
        <v>429</v>
      </c>
      <c r="AK34" s="283" t="s">
        <v>430</v>
      </c>
      <c r="AL34" s="283" t="s">
        <v>431</v>
      </c>
      <c r="AM34" s="283"/>
      <c r="AN34" s="283" t="s">
        <v>432</v>
      </c>
      <c r="AO34" s="283" t="s">
        <v>433</v>
      </c>
      <c r="AP34" s="283" t="s">
        <v>434</v>
      </c>
      <c r="AQ34" s="605"/>
      <c r="AR34" s="605"/>
      <c r="AS34" s="193"/>
      <c r="AT34" s="193"/>
      <c r="AU34" s="283" t="s">
        <v>428</v>
      </c>
      <c r="AV34" s="283" t="s">
        <v>448</v>
      </c>
      <c r="AW34" s="283" t="s">
        <v>430</v>
      </c>
      <c r="AX34" s="283" t="s">
        <v>449</v>
      </c>
      <c r="AY34" s="283" t="s">
        <v>377</v>
      </c>
      <c r="AZ34" s="283" t="s">
        <v>433</v>
      </c>
      <c r="BA34" s="283" t="s">
        <v>450</v>
      </c>
      <c r="BB34" s="193"/>
      <c r="BC34" s="193"/>
      <c r="BD34" s="193"/>
      <c r="BE34" s="193"/>
      <c r="BF34" s="193"/>
      <c r="BG34" s="193"/>
      <c r="BH34" s="193"/>
      <c r="BI34" s="193"/>
      <c r="BJ34" s="193"/>
      <c r="BK34" s="193"/>
      <c r="BL34" s="193"/>
      <c r="BM34" s="193"/>
      <c r="BN34" s="193"/>
      <c r="BO34" s="193"/>
      <c r="BP34" s="193"/>
      <c r="BQ34" s="193"/>
      <c r="BR34" s="193"/>
      <c r="BS34" s="193"/>
      <c r="BT34" s="193"/>
      <c r="BU34" s="193"/>
      <c r="BV34" s="193"/>
      <c r="BW34" s="193"/>
      <c r="BX34" s="193"/>
      <c r="BY34" s="193"/>
      <c r="BZ34" s="193"/>
      <c r="CA34" s="193"/>
      <c r="CB34" s="193"/>
      <c r="CC34" s="193"/>
      <c r="CD34" s="193"/>
      <c r="CE34" s="193"/>
      <c r="CF34" s="193"/>
      <c r="CG34" s="193"/>
      <c r="CH34" s="193"/>
      <c r="CI34" s="193"/>
      <c r="CJ34" s="193"/>
      <c r="CK34" s="193"/>
      <c r="CL34" s="193"/>
      <c r="CM34" s="193"/>
      <c r="CN34" s="193"/>
      <c r="CO34" s="193"/>
      <c r="CP34" s="193" t="s">
        <v>435</v>
      </c>
      <c r="CQ34" s="193"/>
      <c r="CR34" s="536"/>
      <c r="CS34" s="193"/>
      <c r="CT34" s="595"/>
      <c r="CU34" s="594"/>
      <c r="CV34" s="641"/>
      <c r="CW34" s="639"/>
      <c r="CX34" s="661"/>
      <c r="CY34" s="641"/>
      <c r="CZ34" s="649"/>
      <c r="DA34" s="649"/>
      <c r="DB34" s="645"/>
      <c r="DC34" s="193"/>
      <c r="DD34" s="193"/>
      <c r="DE34" s="193"/>
      <c r="DF34" s="193"/>
      <c r="DG34" s="193"/>
      <c r="DH34" s="193"/>
      <c r="DI34" s="193"/>
      <c r="DJ34" s="193"/>
      <c r="DK34" s="193"/>
      <c r="DL34" s="193"/>
      <c r="DM34" s="193"/>
      <c r="DN34" s="193"/>
      <c r="DO34" s="193"/>
      <c r="DP34" s="193"/>
      <c r="DQ34" s="193">
        <f>AI13</f>
        <v>2015</v>
      </c>
      <c r="DR34" s="634"/>
      <c r="DS34" s="633">
        <f>BV20</f>
        <v>0</v>
      </c>
      <c r="DT34" s="634"/>
      <c r="DU34" s="193"/>
      <c r="DV34" s="633">
        <f>BX20</f>
        <v>0</v>
      </c>
      <c r="DW34" s="634"/>
      <c r="DX34" s="193"/>
      <c r="DY34" s="633">
        <f>BZ20</f>
        <v>0</v>
      </c>
      <c r="DZ34" s="670">
        <v>1</v>
      </c>
      <c r="EA34" s="193"/>
      <c r="EB34" s="193"/>
      <c r="EC34" s="193"/>
      <c r="ED34" s="193"/>
      <c r="EE34" s="193"/>
      <c r="EF34" s="193"/>
      <c r="EG34" s="193"/>
      <c r="EH34" s="193"/>
      <c r="EI34" s="193"/>
      <c r="EJ34" s="193"/>
      <c r="EK34" s="193"/>
      <c r="EL34" s="193"/>
      <c r="EM34" s="193"/>
      <c r="EN34" s="193"/>
      <c r="EO34" s="193"/>
      <c r="EP34" s="193"/>
      <c r="EQ34" s="193"/>
      <c r="ER34" s="193"/>
      <c r="ES34" s="193"/>
      <c r="ET34" s="193"/>
      <c r="EU34" s="193"/>
    </row>
    <row r="35" spans="1:151" ht="12.9">
      <c r="A35" s="193"/>
      <c r="B35" s="193"/>
      <c r="C35" s="193"/>
      <c r="D35" s="193"/>
      <c r="E35" s="193"/>
      <c r="F35" s="193"/>
      <c r="G35" s="193"/>
      <c r="H35" s="193"/>
      <c r="I35" s="292"/>
      <c r="J35" s="193"/>
      <c r="K35" s="193"/>
      <c r="L35" s="193"/>
      <c r="M35" s="653">
        <v>0.3</v>
      </c>
      <c r="N35" s="654">
        <f t="shared" si="1"/>
        <v>0.16400000000000001</v>
      </c>
      <c r="O35" s="625">
        <f>O21*N35</f>
        <v>0</v>
      </c>
      <c r="P35" s="625">
        <f>P21*N35</f>
        <v>0</v>
      </c>
      <c r="Q35" s="625">
        <f>N35*Q21</f>
        <v>0</v>
      </c>
      <c r="R35" s="625"/>
      <c r="S35" s="625">
        <f t="shared" si="0"/>
        <v>0</v>
      </c>
      <c r="T35" s="625">
        <f t="shared" si="0"/>
        <v>0</v>
      </c>
      <c r="U35" s="625">
        <f t="shared" si="0"/>
        <v>0</v>
      </c>
      <c r="V35" s="193"/>
      <c r="W35" s="193"/>
      <c r="X35" s="193"/>
      <c r="Y35" s="193"/>
      <c r="Z35" s="283" t="s">
        <v>112</v>
      </c>
      <c r="AA35" s="660">
        <v>1.1177710784640114</v>
      </c>
      <c r="AB35" s="658">
        <f>ROUND(AA35*$AB$22*2,0)</f>
        <v>1253726</v>
      </c>
      <c r="AC35" s="193"/>
      <c r="AD35" s="658">
        <f>AB35*2</f>
        <v>2507452</v>
      </c>
      <c r="AE35" s="193"/>
      <c r="AF35" s="193"/>
      <c r="AG35" s="193"/>
      <c r="AH35" s="193"/>
      <c r="AI35" s="283" t="s">
        <v>118</v>
      </c>
      <c r="AJ35" s="283" t="s">
        <v>436</v>
      </c>
      <c r="AK35" s="283" t="s">
        <v>436</v>
      </c>
      <c r="AL35" s="283" t="s">
        <v>437</v>
      </c>
      <c r="AM35" s="283"/>
      <c r="AN35" s="283" t="s">
        <v>434</v>
      </c>
      <c r="AO35" s="283" t="s">
        <v>438</v>
      </c>
      <c r="AP35" s="283" t="s">
        <v>439</v>
      </c>
      <c r="AQ35" s="605"/>
      <c r="AR35" s="605"/>
      <c r="AS35" s="193"/>
      <c r="AT35" s="193"/>
      <c r="AU35" s="283" t="s">
        <v>118</v>
      </c>
      <c r="AV35" s="283" t="s">
        <v>22</v>
      </c>
      <c r="AW35" s="283" t="s">
        <v>436</v>
      </c>
      <c r="AX35" s="283" t="s">
        <v>451</v>
      </c>
      <c r="AY35" s="283" t="s">
        <v>99</v>
      </c>
      <c r="AZ35" s="283" t="s">
        <v>438</v>
      </c>
      <c r="BA35" s="283" t="s">
        <v>452</v>
      </c>
      <c r="BB35" s="193"/>
      <c r="BC35" s="193"/>
      <c r="BD35" s="193"/>
      <c r="BE35" s="193"/>
      <c r="BF35" s="193"/>
      <c r="BG35" s="193"/>
      <c r="BJ35" s="193"/>
      <c r="BK35" s="193"/>
      <c r="BL35" s="193"/>
      <c r="BM35" s="193"/>
      <c r="BN35" s="193"/>
      <c r="BO35" s="193"/>
      <c r="BP35" s="193"/>
      <c r="BQ35" s="193"/>
      <c r="BR35" s="193"/>
      <c r="BS35" s="193"/>
      <c r="BT35" s="193"/>
      <c r="BU35" s="193"/>
      <c r="BV35" s="193"/>
      <c r="BW35" s="193"/>
      <c r="BX35" s="193"/>
      <c r="BY35" s="193"/>
      <c r="BZ35" s="193"/>
      <c r="CA35" s="193"/>
      <c r="CB35" s="193"/>
      <c r="CC35" s="193"/>
      <c r="CD35" s="193"/>
      <c r="CE35" s="193"/>
      <c r="CF35" s="193"/>
      <c r="CG35" s="193"/>
      <c r="CH35" s="193"/>
      <c r="CI35" s="193"/>
      <c r="CJ35" s="193"/>
      <c r="CK35" s="193"/>
      <c r="CL35" s="193"/>
      <c r="CM35" s="193"/>
      <c r="CN35" s="193"/>
      <c r="CO35" s="193"/>
      <c r="CP35" s="193"/>
      <c r="CQ35" s="193"/>
      <c r="CR35" s="193"/>
      <c r="CS35" s="193"/>
      <c r="CT35" s="193"/>
      <c r="CU35" s="594"/>
      <c r="CV35" s="641"/>
      <c r="CW35" s="639"/>
      <c r="CX35" s="661"/>
      <c r="CY35" s="648"/>
      <c r="CZ35" s="641"/>
      <c r="DA35" s="641"/>
      <c r="DB35" s="645"/>
      <c r="DC35" s="193"/>
      <c r="DD35" s="193"/>
      <c r="DE35" s="193"/>
      <c r="DF35" s="193"/>
      <c r="DG35" s="630"/>
      <c r="DH35" s="536"/>
      <c r="DI35" s="630"/>
      <c r="DJ35" s="193"/>
      <c r="DK35" s="193"/>
      <c r="DL35" s="193"/>
      <c r="DM35" s="193"/>
      <c r="DN35" s="193"/>
      <c r="DO35" s="193"/>
      <c r="DP35" s="193"/>
      <c r="DQ35" s="193">
        <f>AI14</f>
        <v>2016</v>
      </c>
      <c r="DR35" s="634"/>
      <c r="DS35" s="633">
        <f>BV22</f>
        <v>0</v>
      </c>
      <c r="DT35" s="634"/>
      <c r="DU35" s="193"/>
      <c r="DV35" s="633">
        <f>BX22</f>
        <v>0</v>
      </c>
      <c r="DW35" s="634"/>
      <c r="DX35" s="193"/>
      <c r="DY35" s="633">
        <f>BZ22</f>
        <v>0</v>
      </c>
      <c r="DZ35" s="670">
        <v>1</v>
      </c>
      <c r="EA35" s="193"/>
      <c r="EB35" s="193"/>
      <c r="EC35" s="193"/>
      <c r="ED35" s="193"/>
      <c r="EE35" s="193"/>
      <c r="EF35" s="193"/>
      <c r="EG35" s="193"/>
      <c r="EH35" s="193"/>
      <c r="EI35" s="193"/>
      <c r="EJ35" s="193"/>
      <c r="EK35" s="193"/>
      <c r="EL35" s="193"/>
      <c r="EM35" s="193"/>
      <c r="EN35" s="193"/>
      <c r="EO35" s="193"/>
      <c r="EP35" s="193"/>
      <c r="EQ35" s="193"/>
      <c r="ER35" s="193"/>
      <c r="ES35" s="193"/>
      <c r="ET35" s="193"/>
      <c r="EU35" s="193"/>
    </row>
    <row r="36" spans="1:151" ht="12.9">
      <c r="A36" s="193"/>
      <c r="B36" s="193"/>
      <c r="C36" s="193"/>
      <c r="D36" s="193"/>
      <c r="E36" s="193"/>
      <c r="F36" s="193"/>
      <c r="G36" s="193"/>
      <c r="H36" s="193"/>
      <c r="I36" s="193"/>
      <c r="J36" s="193"/>
      <c r="K36" s="193"/>
      <c r="L36" s="193"/>
      <c r="M36" s="653">
        <v>0.25</v>
      </c>
      <c r="N36" s="654">
        <f t="shared" si="1"/>
        <v>0.125</v>
      </c>
      <c r="O36" s="625">
        <f>O21*N36</f>
        <v>0</v>
      </c>
      <c r="P36" s="625">
        <f>P21*N36</f>
        <v>0</v>
      </c>
      <c r="Q36" s="625">
        <f>N36*Q21</f>
        <v>0</v>
      </c>
      <c r="R36" s="625"/>
      <c r="S36" s="625">
        <f t="shared" si="0"/>
        <v>0</v>
      </c>
      <c r="T36" s="625">
        <f t="shared" si="0"/>
        <v>0</v>
      </c>
      <c r="U36" s="625">
        <f t="shared" si="0"/>
        <v>0</v>
      </c>
      <c r="V36" s="193"/>
      <c r="W36" s="193"/>
      <c r="X36" s="193"/>
      <c r="Y36" s="193"/>
      <c r="Z36" s="283"/>
      <c r="AA36" s="660"/>
      <c r="AB36" s="658"/>
      <c r="AD36" s="408"/>
      <c r="AE36" s="193"/>
      <c r="AF36" s="193"/>
      <c r="AG36" s="193"/>
      <c r="AH36" s="193"/>
      <c r="AI36" s="283" t="s">
        <v>26</v>
      </c>
      <c r="AJ36" s="283" t="s">
        <v>440</v>
      </c>
      <c r="AK36" s="283" t="s">
        <v>441</v>
      </c>
      <c r="AL36" s="283" t="s">
        <v>442</v>
      </c>
      <c r="AM36" s="283"/>
      <c r="AN36" s="283" t="s">
        <v>443</v>
      </c>
      <c r="AO36" s="283" t="s">
        <v>444</v>
      </c>
      <c r="AP36" s="283" t="s">
        <v>445</v>
      </c>
      <c r="AQ36" s="605"/>
      <c r="AR36" s="605"/>
      <c r="AS36" s="193"/>
      <c r="AT36" s="193"/>
      <c r="AU36" s="283" t="s">
        <v>26</v>
      </c>
      <c r="AV36" s="283" t="s">
        <v>23</v>
      </c>
      <c r="AW36" s="283" t="s">
        <v>441</v>
      </c>
      <c r="AX36" s="283" t="s">
        <v>453</v>
      </c>
      <c r="AY36" s="283" t="s">
        <v>443</v>
      </c>
      <c r="AZ36" s="283" t="s">
        <v>444</v>
      </c>
      <c r="BA36" s="283" t="s">
        <v>454</v>
      </c>
      <c r="BB36" s="193"/>
      <c r="BC36" s="193"/>
      <c r="BD36" s="193"/>
      <c r="BE36" s="193"/>
      <c r="BF36" s="193"/>
      <c r="BG36" s="193"/>
      <c r="BH36" s="193"/>
      <c r="BI36" s="193"/>
      <c r="BJ36" s="193"/>
      <c r="BK36" s="193"/>
      <c r="BL36" s="193"/>
      <c r="BM36" s="193"/>
      <c r="BN36" s="193"/>
      <c r="BO36" s="193"/>
      <c r="BP36" s="193"/>
      <c r="BQ36" s="193"/>
      <c r="BR36" s="193"/>
      <c r="BS36" s="193"/>
      <c r="BT36" s="193"/>
      <c r="BU36" s="193"/>
      <c r="BV36" s="193"/>
      <c r="BW36" s="193"/>
      <c r="BX36" s="193"/>
      <c r="BY36" s="193"/>
      <c r="BZ36" s="193"/>
      <c r="CA36" s="193"/>
      <c r="CB36" s="193"/>
      <c r="CC36" s="193"/>
      <c r="CD36" s="193"/>
      <c r="CE36" s="193"/>
      <c r="CF36" s="193"/>
      <c r="CG36" s="193"/>
      <c r="CH36" s="193"/>
      <c r="CI36" s="193"/>
      <c r="CJ36" s="193"/>
      <c r="CK36" s="193"/>
      <c r="CL36" s="193"/>
      <c r="CM36" s="193"/>
      <c r="CN36" s="193"/>
      <c r="CO36" s="193"/>
      <c r="CP36" s="193"/>
      <c r="CQ36" s="193"/>
      <c r="CR36" s="193"/>
      <c r="CS36" s="193"/>
      <c r="CT36" s="193"/>
      <c r="CU36" s="193"/>
      <c r="CV36" s="641"/>
      <c r="CW36" s="641"/>
      <c r="CX36" s="641"/>
      <c r="CY36" s="641"/>
      <c r="CZ36" s="641"/>
      <c r="DA36" s="641"/>
      <c r="DB36" s="645"/>
      <c r="DC36" s="193"/>
      <c r="DD36" s="193"/>
      <c r="DE36" s="193"/>
      <c r="DF36" s="193"/>
      <c r="DG36" s="193"/>
      <c r="DH36" s="193"/>
      <c r="DI36" s="193"/>
      <c r="DJ36" s="193"/>
      <c r="DK36" s="193"/>
      <c r="DL36" s="193"/>
      <c r="DM36" s="193"/>
      <c r="DN36" s="193"/>
      <c r="DO36" s="193"/>
      <c r="DP36" s="193"/>
      <c r="DQ36" s="193">
        <f>AI15</f>
        <v>2017</v>
      </c>
      <c r="DR36" s="634"/>
      <c r="DS36" s="633">
        <f>BV24</f>
        <v>0</v>
      </c>
      <c r="DT36" s="634"/>
      <c r="DU36" s="193"/>
      <c r="DV36" s="633">
        <f>BX24</f>
        <v>0</v>
      </c>
      <c r="DW36" s="634"/>
      <c r="DX36" s="193"/>
      <c r="DY36" s="633">
        <f>BZ24</f>
        <v>0</v>
      </c>
      <c r="DZ36" s="670">
        <v>1</v>
      </c>
      <c r="EA36" s="193"/>
      <c r="EB36" s="193"/>
      <c r="EC36" s="193"/>
      <c r="ED36" s="193"/>
      <c r="EE36" s="193"/>
      <c r="EF36" s="193"/>
      <c r="EG36" s="193"/>
      <c r="EH36" s="193"/>
      <c r="EI36" s="193"/>
      <c r="EJ36" s="193"/>
      <c r="EK36" s="193"/>
      <c r="EL36" s="193"/>
      <c r="EM36" s="193"/>
      <c r="EN36" s="193"/>
      <c r="EO36" s="193"/>
      <c r="EP36" s="193"/>
      <c r="EQ36" s="193"/>
      <c r="ER36" s="193"/>
      <c r="ES36" s="193"/>
      <c r="ET36" s="193"/>
      <c r="EU36" s="193"/>
    </row>
    <row r="37" spans="1:151" ht="12.9">
      <c r="A37" s="536" t="s">
        <v>446</v>
      </c>
      <c r="B37" s="193"/>
      <c r="C37" s="193"/>
      <c r="D37" s="193"/>
      <c r="E37" s="193"/>
      <c r="F37" s="601" t="s">
        <v>528</v>
      </c>
      <c r="G37" s="193"/>
      <c r="H37" s="193"/>
      <c r="I37" s="193"/>
      <c r="J37" s="193"/>
      <c r="K37" s="193"/>
      <c r="L37" s="193"/>
      <c r="M37" s="653"/>
      <c r="N37" s="654"/>
      <c r="O37" s="625"/>
      <c r="P37" s="625"/>
      <c r="Q37" s="625"/>
      <c r="R37" s="625"/>
      <c r="S37" s="625"/>
      <c r="T37" s="625"/>
      <c r="U37" s="625"/>
      <c r="V37" s="193"/>
      <c r="W37" s="193"/>
      <c r="X37" s="193"/>
      <c r="Y37" s="193"/>
      <c r="Z37" s="676" t="s">
        <v>113</v>
      </c>
      <c r="AA37" s="677">
        <v>1.1872522548890574</v>
      </c>
      <c r="AB37" s="678">
        <f>ROUND(AA37*$AB$22*2,0)</f>
        <v>1331658</v>
      </c>
      <c r="AC37" s="619"/>
      <c r="AD37" s="678">
        <f>AB37*2</f>
        <v>2663316</v>
      </c>
      <c r="AE37" s="193"/>
      <c r="AF37" s="193"/>
      <c r="AG37" s="193"/>
      <c r="AH37" s="193"/>
      <c r="AI37" s="193"/>
      <c r="AJ37" s="193"/>
      <c r="AK37" s="193"/>
      <c r="AL37" s="193"/>
      <c r="AM37" s="193"/>
      <c r="AN37" s="193"/>
      <c r="AO37" s="193"/>
      <c r="AP37" s="193"/>
      <c r="AQ37" s="672"/>
      <c r="AS37" s="193"/>
      <c r="AT37" s="193"/>
      <c r="AU37" s="193"/>
      <c r="AV37" s="193"/>
      <c r="AW37" s="193"/>
      <c r="AX37" s="193"/>
      <c r="AY37" s="193"/>
      <c r="AZ37" s="193"/>
      <c r="BA37" s="193"/>
      <c r="BB37" s="193"/>
      <c r="BC37" s="193"/>
      <c r="BD37" s="193"/>
      <c r="BE37" s="193"/>
      <c r="BF37" s="193"/>
      <c r="BG37" s="193"/>
      <c r="BJ37" s="193"/>
      <c r="BK37" s="193"/>
      <c r="BL37" s="193"/>
      <c r="BM37" s="193"/>
      <c r="BN37" s="193"/>
      <c r="BO37" s="193"/>
      <c r="BP37" s="193"/>
      <c r="BQ37" s="193"/>
      <c r="BR37" s="193"/>
      <c r="BS37" s="193"/>
      <c r="BT37" s="193"/>
      <c r="BU37" s="193"/>
      <c r="BV37" s="193"/>
      <c r="BW37" s="193"/>
      <c r="BX37" s="193"/>
      <c r="BY37" s="193"/>
      <c r="BZ37" s="193"/>
      <c r="CA37" s="193"/>
      <c r="CB37" s="193"/>
      <c r="CC37" s="193"/>
      <c r="CD37" s="193"/>
      <c r="CE37" s="193"/>
      <c r="CF37" s="193"/>
      <c r="CG37" s="193"/>
      <c r="CH37" s="193"/>
      <c r="CI37" s="193"/>
      <c r="CJ37" s="193"/>
      <c r="CK37" s="193"/>
      <c r="CL37" s="193"/>
      <c r="CM37" s="193"/>
      <c r="CN37" s="193"/>
      <c r="CO37" s="193"/>
      <c r="CP37" s="193"/>
      <c r="CQ37" s="193"/>
      <c r="CR37" s="193"/>
      <c r="CS37" s="193"/>
      <c r="CT37" s="193"/>
      <c r="CU37" s="193"/>
      <c r="CV37" s="641"/>
      <c r="CW37" s="641"/>
      <c r="CX37" s="641"/>
      <c r="CY37" s="641"/>
      <c r="CZ37" s="641"/>
      <c r="DA37" s="641"/>
      <c r="DB37" s="645"/>
      <c r="DC37" s="193"/>
      <c r="DD37" s="193"/>
      <c r="DL37" s="193"/>
      <c r="DM37" s="193"/>
      <c r="DN37" s="193"/>
      <c r="DO37" s="193"/>
      <c r="DP37" s="193"/>
      <c r="DQ37" s="193">
        <f>AI16</f>
        <v>2018</v>
      </c>
      <c r="DR37" s="634"/>
      <c r="DS37" s="633">
        <f>BV26</f>
        <v>0</v>
      </c>
      <c r="DT37" s="634"/>
      <c r="DU37" s="193"/>
      <c r="DV37" s="633">
        <f>BX26</f>
        <v>0</v>
      </c>
      <c r="DW37" s="634"/>
      <c r="DX37" s="193"/>
      <c r="DY37" s="633">
        <f>BZ26</f>
        <v>0</v>
      </c>
      <c r="DZ37" s="670">
        <v>1</v>
      </c>
      <c r="EA37" s="193"/>
      <c r="EB37" s="193"/>
      <c r="EC37" s="193"/>
      <c r="ED37" s="193"/>
      <c r="EE37" s="193"/>
      <c r="EF37" s="193"/>
      <c r="EG37" s="193"/>
      <c r="EH37" s="193"/>
      <c r="EI37" s="193"/>
      <c r="EJ37" s="193"/>
      <c r="EK37" s="193"/>
      <c r="EL37" s="193"/>
      <c r="EM37" s="193"/>
      <c r="EN37" s="193"/>
      <c r="EO37" s="193"/>
      <c r="EP37" s="193"/>
      <c r="EQ37" s="193"/>
      <c r="ER37" s="193"/>
      <c r="ES37" s="193"/>
      <c r="ET37" s="193"/>
      <c r="EU37" s="193"/>
    </row>
    <row r="38" spans="1:151" ht="12.9">
      <c r="A38" s="193"/>
      <c r="B38" s="193"/>
      <c r="C38" s="193"/>
      <c r="D38" s="193"/>
      <c r="E38" s="193"/>
      <c r="F38" s="193"/>
      <c r="G38" s="193"/>
      <c r="H38" s="193"/>
      <c r="I38" s="193"/>
      <c r="J38" s="193"/>
      <c r="K38" s="193"/>
      <c r="L38" s="193"/>
      <c r="M38" s="653"/>
      <c r="N38" s="654"/>
      <c r="O38" s="625"/>
      <c r="P38" s="625"/>
      <c r="Q38" s="625"/>
      <c r="R38" s="625"/>
      <c r="S38" s="625"/>
      <c r="T38" s="625"/>
      <c r="U38" s="625"/>
      <c r="V38" s="193"/>
      <c r="W38" s="193"/>
      <c r="X38" s="193"/>
      <c r="Y38" s="193"/>
      <c r="AE38" s="193"/>
      <c r="AF38" s="193"/>
      <c r="AG38" s="193"/>
      <c r="AH38" s="193"/>
      <c r="AI38" s="294">
        <f>AI25</f>
        <v>2015</v>
      </c>
      <c r="AJ38" s="652">
        <f>AQ13</f>
        <v>39109.909050000002</v>
      </c>
      <c r="AK38" s="652">
        <f>AQ25</f>
        <v>39109.909050000002</v>
      </c>
      <c r="AL38" s="673">
        <f>IFERROR((AK38-AJ38)/AK38,0)</f>
        <v>0</v>
      </c>
      <c r="AM38" s="637"/>
      <c r="AN38" s="637">
        <f>DB22</f>
        <v>0.96009999999999995</v>
      </c>
      <c r="AO38" s="674">
        <v>0.79107665532790128</v>
      </c>
      <c r="AP38" s="637">
        <f>ROUND(AL38,4)*AN38*AO38</f>
        <v>0</v>
      </c>
      <c r="AQ38" s="672"/>
      <c r="AS38" s="193"/>
      <c r="AT38" s="193"/>
      <c r="AU38" s="294">
        <f>AU25</f>
        <v>2015</v>
      </c>
      <c r="AV38" s="652">
        <f>BB13</f>
        <v>18803.095120000002</v>
      </c>
      <c r="AW38" s="652">
        <f>BB25</f>
        <v>18803.095120000002</v>
      </c>
      <c r="AX38" s="637">
        <f>(AW38-AV38)/AW38</f>
        <v>0</v>
      </c>
      <c r="AY38" s="637">
        <f>AN38</f>
        <v>0.96009999999999995</v>
      </c>
      <c r="AZ38" s="633">
        <f>AO38</f>
        <v>0.79107665532790128</v>
      </c>
      <c r="BA38" s="637">
        <f>ROUND(AX38,4)*AY38*AZ38</f>
        <v>0</v>
      </c>
      <c r="BB38" s="193"/>
      <c r="BC38" s="193"/>
      <c r="BD38" s="193"/>
      <c r="BE38" s="193"/>
      <c r="BF38" s="193"/>
      <c r="BG38" s="193"/>
      <c r="BH38" s="193"/>
      <c r="BI38" s="193"/>
      <c r="BJ38" s="193"/>
      <c r="BK38" s="193"/>
      <c r="BL38" s="193"/>
      <c r="BM38" s="193"/>
      <c r="BN38" s="193"/>
      <c r="BO38" s="193"/>
      <c r="BP38" s="193"/>
      <c r="BQ38" s="193"/>
      <c r="BR38" s="193"/>
      <c r="BS38" s="193"/>
      <c r="BT38" s="193"/>
      <c r="BU38" s="193"/>
      <c r="BV38" s="193"/>
      <c r="BW38" s="193"/>
      <c r="BX38" s="193"/>
      <c r="BY38" s="193"/>
      <c r="BZ38" s="193"/>
      <c r="CA38" s="193"/>
      <c r="CB38" s="193"/>
      <c r="CC38" s="193"/>
      <c r="CD38" s="193"/>
      <c r="CE38" s="193"/>
      <c r="CF38" s="534"/>
      <c r="CG38" s="193"/>
      <c r="CH38" s="193"/>
      <c r="CI38" s="193"/>
      <c r="CJ38" s="193"/>
      <c r="CK38" s="193"/>
      <c r="CL38" s="193"/>
      <c r="CM38" s="193"/>
      <c r="CN38" s="193"/>
      <c r="CO38" s="193"/>
      <c r="CP38" s="193"/>
      <c r="CQ38" s="193"/>
      <c r="CR38" s="193"/>
      <c r="CS38" s="193"/>
      <c r="CT38" s="193"/>
      <c r="CU38" s="193"/>
      <c r="CV38" s="641"/>
      <c r="CW38" s="641"/>
      <c r="CX38" s="641"/>
      <c r="CY38" s="641"/>
      <c r="CZ38" s="641"/>
      <c r="DA38" s="641"/>
      <c r="DB38" s="645"/>
      <c r="DC38" s="193"/>
      <c r="DD38" s="193"/>
      <c r="DL38" s="193"/>
      <c r="DM38" s="193"/>
      <c r="DN38" s="193"/>
      <c r="DO38" s="193"/>
      <c r="DP38" s="193"/>
      <c r="DQ38" s="193">
        <f>AI17</f>
        <v>2019</v>
      </c>
      <c r="DR38" s="634"/>
      <c r="DS38" s="633">
        <f>BV28</f>
        <v>0</v>
      </c>
      <c r="DT38" s="634"/>
      <c r="DU38" s="193"/>
      <c r="DV38" s="633">
        <f>BX28</f>
        <v>0</v>
      </c>
      <c r="DW38" s="634"/>
      <c r="DX38" s="193"/>
      <c r="DY38" s="633">
        <f>BZ28</f>
        <v>0</v>
      </c>
      <c r="DZ38" s="670">
        <v>1</v>
      </c>
      <c r="EA38" s="193"/>
      <c r="EB38" s="193"/>
      <c r="EC38" s="193"/>
      <c r="ED38" s="193"/>
      <c r="EE38" s="193"/>
      <c r="EF38" s="193"/>
      <c r="EG38" s="193"/>
      <c r="EH38" s="193"/>
      <c r="EI38" s="193"/>
      <c r="EJ38" s="193"/>
      <c r="EK38" s="193"/>
      <c r="EL38" s="193"/>
      <c r="EM38" s="193"/>
      <c r="EN38" s="193"/>
      <c r="EO38" s="193"/>
      <c r="EP38" s="193"/>
      <c r="EQ38" s="193"/>
      <c r="ER38" s="193"/>
      <c r="ES38" s="193"/>
      <c r="ET38" s="193"/>
      <c r="EU38" s="193"/>
    </row>
    <row r="39" spans="1:151" ht="12.9">
      <c r="A39" s="534" t="s">
        <v>457</v>
      </c>
      <c r="B39" s="193"/>
      <c r="C39" s="675">
        <f>H28</f>
        <v>7820</v>
      </c>
      <c r="D39" s="625">
        <f>ROUND(175*H28,0)</f>
        <v>1368500</v>
      </c>
      <c r="E39" s="283"/>
      <c r="F39" s="675">
        <v>98142625</v>
      </c>
      <c r="G39" s="193"/>
      <c r="H39" s="193"/>
      <c r="I39" s="193"/>
      <c r="J39" s="193"/>
      <c r="K39" s="193"/>
      <c r="L39" s="193"/>
      <c r="M39" s="653">
        <v>0.1</v>
      </c>
      <c r="N39" s="654">
        <f t="shared" si="1"/>
        <v>3.2000000000000001E-2</v>
      </c>
      <c r="O39" s="625">
        <f>O21*N39</f>
        <v>0</v>
      </c>
      <c r="P39" s="625">
        <f>P21*N39</f>
        <v>0</v>
      </c>
      <c r="Q39" s="625">
        <f>N39*Q21</f>
        <v>0</v>
      </c>
      <c r="R39" s="625"/>
      <c r="S39" s="625">
        <f t="shared" si="0"/>
        <v>0</v>
      </c>
      <c r="T39" s="625">
        <f t="shared" si="0"/>
        <v>0</v>
      </c>
      <c r="U39" s="625">
        <f t="shared" si="0"/>
        <v>0</v>
      </c>
      <c r="V39" s="193"/>
      <c r="W39" s="193"/>
      <c r="X39" s="193"/>
      <c r="Y39" s="193"/>
      <c r="Z39" s="534" t="str">
        <f>A43</f>
        <v>@ From the proposed PA State Act Coverage Loss Cost filing of 4/1/23.</v>
      </c>
      <c r="AE39" s="193"/>
      <c r="AF39" s="193"/>
      <c r="AG39" s="193"/>
      <c r="AH39" s="193"/>
      <c r="AI39" s="294">
        <f>AI26</f>
        <v>2016</v>
      </c>
      <c r="AJ39" s="652">
        <f>AQ14</f>
        <v>10251.45320082</v>
      </c>
      <c r="AK39" s="652">
        <f>AQ26</f>
        <v>10251.45320082</v>
      </c>
      <c r="AL39" s="673">
        <f t="shared" ref="AL39:AL42" si="2">IFERROR((AK39-AJ39)/AK39,0)</f>
        <v>0</v>
      </c>
      <c r="AM39" s="637"/>
      <c r="AN39" s="637">
        <f>AN38</f>
        <v>0.96009999999999995</v>
      </c>
      <c r="AO39" s="674">
        <v>0.81486310299869613</v>
      </c>
      <c r="AP39" s="637">
        <f>ROUND(AL39,4)*AN39*AO39</f>
        <v>0</v>
      </c>
      <c r="AQ39" s="672"/>
      <c r="AS39" s="193"/>
      <c r="AT39" s="193"/>
      <c r="AU39" s="294">
        <f>AU26</f>
        <v>2016</v>
      </c>
      <c r="AV39" s="652">
        <f>BB14</f>
        <v>33042.244485588002</v>
      </c>
      <c r="AW39" s="652">
        <f>BB26</f>
        <v>33042.244485588002</v>
      </c>
      <c r="AX39" s="637">
        <f>(AW39-AV39)/AW39</f>
        <v>0</v>
      </c>
      <c r="AY39" s="637">
        <f>AY38</f>
        <v>0.96009999999999995</v>
      </c>
      <c r="AZ39" s="633">
        <f>AO39</f>
        <v>0.81486310299869613</v>
      </c>
      <c r="BA39" s="637">
        <f>ROUND(AX39,4)*AY39*AZ39</f>
        <v>0</v>
      </c>
      <c r="BB39" s="193"/>
      <c r="BC39" s="193"/>
      <c r="BD39" s="193"/>
      <c r="BE39" s="193"/>
      <c r="BF39" s="193"/>
      <c r="BG39" s="193"/>
      <c r="BJ39" s="193"/>
      <c r="BK39" s="193"/>
      <c r="BL39" s="193"/>
      <c r="BM39" s="193"/>
      <c r="BN39" s="193"/>
      <c r="BO39" s="193"/>
      <c r="BP39" s="193"/>
      <c r="BQ39" s="193"/>
      <c r="BR39" s="193"/>
      <c r="BS39" s="193"/>
      <c r="BT39" s="193"/>
      <c r="BU39" s="193"/>
      <c r="BV39" s="193"/>
      <c r="BW39" s="193"/>
      <c r="BX39" s="193"/>
      <c r="BY39" s="193"/>
      <c r="BZ39" s="193"/>
      <c r="CA39" s="193"/>
      <c r="CB39" s="193"/>
      <c r="CC39" s="193"/>
      <c r="CD39" s="193"/>
      <c r="CE39" s="193"/>
      <c r="CF39" s="535"/>
      <c r="CG39" s="193"/>
      <c r="CH39" s="193"/>
      <c r="CI39" s="193"/>
      <c r="CJ39" s="193"/>
      <c r="CK39" s="193"/>
      <c r="CL39" s="193"/>
      <c r="CM39" s="193"/>
      <c r="CN39" s="193"/>
      <c r="CO39" s="193"/>
      <c r="CP39" s="193"/>
      <c r="CQ39" s="193"/>
      <c r="CR39" s="193"/>
      <c r="CS39" s="193"/>
      <c r="CT39" s="193"/>
      <c r="CU39" s="193"/>
      <c r="CV39" s="641"/>
      <c r="CW39" s="641"/>
      <c r="CX39" s="641"/>
      <c r="CY39" s="641"/>
      <c r="CZ39" s="641"/>
      <c r="DA39" s="641"/>
      <c r="DB39" s="645"/>
      <c r="DC39" s="193"/>
      <c r="DD39" s="193"/>
      <c r="DL39" s="193"/>
      <c r="DM39" s="193"/>
      <c r="DN39" s="193"/>
      <c r="DO39" s="193"/>
      <c r="DP39" s="193"/>
      <c r="DQ39" s="193"/>
      <c r="DR39" s="193"/>
      <c r="DS39" s="193"/>
      <c r="DT39" s="193"/>
      <c r="DU39" s="193"/>
      <c r="DV39" s="193"/>
      <c r="DW39" s="193"/>
      <c r="DX39" s="193"/>
      <c r="DY39" s="193"/>
      <c r="DZ39" s="193"/>
      <c r="EA39" s="193"/>
      <c r="EB39" s="193"/>
      <c r="EC39" s="193"/>
      <c r="ED39" s="193"/>
      <c r="EE39" s="193"/>
      <c r="EF39" s="193"/>
      <c r="EG39" s="193"/>
      <c r="EH39" s="193"/>
      <c r="EI39" s="193"/>
      <c r="EJ39" s="193"/>
      <c r="EK39" s="193"/>
      <c r="EL39" s="193"/>
      <c r="EM39" s="193"/>
      <c r="EN39" s="193"/>
      <c r="EO39" s="193"/>
      <c r="EP39" s="193"/>
      <c r="EQ39" s="193"/>
      <c r="ER39" s="193"/>
      <c r="ES39" s="193"/>
      <c r="ET39" s="193"/>
      <c r="EU39" s="193"/>
    </row>
    <row r="40" spans="1:151" ht="12.9">
      <c r="A40" s="536" t="s">
        <v>458</v>
      </c>
      <c r="B40" s="193"/>
      <c r="C40" s="675">
        <f>H34</f>
        <v>648</v>
      </c>
      <c r="D40" s="625">
        <f>ROUND(500*H34,-1)</f>
        <v>324000</v>
      </c>
      <c r="E40" s="283"/>
      <c r="F40" s="675">
        <v>20513500</v>
      </c>
      <c r="G40" s="193"/>
      <c r="H40" s="193"/>
      <c r="I40" s="193"/>
      <c r="J40" s="193"/>
      <c r="K40" s="193"/>
      <c r="L40" s="193"/>
      <c r="M40" s="653">
        <v>0.05</v>
      </c>
      <c r="N40" s="654">
        <f t="shared" si="1"/>
        <v>1.0999999999999999E-2</v>
      </c>
      <c r="O40" s="625">
        <f>O21*N40</f>
        <v>0</v>
      </c>
      <c r="P40" s="625">
        <f>P21*N40</f>
        <v>0</v>
      </c>
      <c r="Q40" s="625">
        <f>N40*Q21</f>
        <v>0</v>
      </c>
      <c r="R40" s="625"/>
      <c r="S40" s="625">
        <f t="shared" si="0"/>
        <v>0</v>
      </c>
      <c r="T40" s="625">
        <f t="shared" si="0"/>
        <v>0</v>
      </c>
      <c r="U40" s="625">
        <f t="shared" si="0"/>
        <v>0</v>
      </c>
      <c r="V40" s="193"/>
      <c r="W40" s="193"/>
      <c r="X40" s="193"/>
      <c r="Y40" s="193"/>
      <c r="Z40" s="534"/>
      <c r="AA40" s="193"/>
      <c r="AB40" s="193"/>
      <c r="AC40" s="193"/>
      <c r="AD40" s="193"/>
      <c r="AE40" s="193"/>
      <c r="AF40" s="193"/>
      <c r="AG40" s="193"/>
      <c r="AH40" s="193"/>
      <c r="AI40" s="294">
        <f>AI27</f>
        <v>2017</v>
      </c>
      <c r="AJ40" s="652">
        <f>AQ15</f>
        <v>50512.147706235002</v>
      </c>
      <c r="AK40" s="652">
        <f>AQ27</f>
        <v>50512.147706235002</v>
      </c>
      <c r="AL40" s="673">
        <f t="shared" si="2"/>
        <v>0</v>
      </c>
      <c r="AM40" s="637"/>
      <c r="AN40" s="637">
        <f>AN39</f>
        <v>0.96009999999999995</v>
      </c>
      <c r="AO40" s="674">
        <v>0.83388925950633752</v>
      </c>
      <c r="AP40" s="637">
        <f>ROUND(AL40,4)*AN40*AO40</f>
        <v>0</v>
      </c>
      <c r="AQ40" s="672"/>
      <c r="AS40" s="193"/>
      <c r="AT40" s="193"/>
      <c r="AU40" s="294">
        <f>AU27</f>
        <v>2017</v>
      </c>
      <c r="AV40" s="652">
        <f>BB15</f>
        <v>17850.930884011002</v>
      </c>
      <c r="AW40" s="652">
        <f>BB27</f>
        <v>17850.930884011002</v>
      </c>
      <c r="AX40" s="637">
        <f>(AW40-AV40)/AW40</f>
        <v>0</v>
      </c>
      <c r="AY40" s="637">
        <f>AY39</f>
        <v>0.96009999999999995</v>
      </c>
      <c r="AZ40" s="633">
        <f>AO40</f>
        <v>0.83388925950633752</v>
      </c>
      <c r="BA40" s="637">
        <f>ROUND(AX40,4)*AY40*AZ40</f>
        <v>0</v>
      </c>
      <c r="BB40" s="193"/>
      <c r="BC40" s="193"/>
      <c r="BD40" s="193"/>
      <c r="BE40" s="193"/>
      <c r="BF40" s="193"/>
      <c r="BG40" s="193"/>
      <c r="BH40" s="193"/>
      <c r="BI40" s="193"/>
      <c r="BJ40" s="193"/>
      <c r="BK40" s="193"/>
      <c r="BL40" s="193"/>
      <c r="BM40" s="193"/>
      <c r="BN40" s="193"/>
      <c r="BO40" s="193"/>
      <c r="BP40" s="193"/>
      <c r="BQ40" s="193"/>
      <c r="BR40" s="193"/>
      <c r="BS40" s="193"/>
      <c r="BT40" s="193"/>
      <c r="BU40" s="193"/>
      <c r="BV40" s="193"/>
      <c r="BW40" s="193"/>
      <c r="BX40" s="193"/>
      <c r="BY40" s="193"/>
      <c r="BZ40" s="193"/>
      <c r="CA40" s="193"/>
      <c r="CB40" s="193"/>
      <c r="CC40" s="193"/>
      <c r="CD40" s="193"/>
      <c r="CE40" s="193"/>
      <c r="CF40" s="193"/>
      <c r="CG40" s="193"/>
      <c r="CH40" s="193"/>
      <c r="CI40" s="193"/>
      <c r="CJ40" s="193"/>
      <c r="CK40" s="193"/>
      <c r="CL40" s="193"/>
      <c r="CM40" s="193"/>
      <c r="CN40" s="193"/>
      <c r="CO40" s="193"/>
      <c r="CP40" s="193"/>
      <c r="CQ40" s="193"/>
      <c r="CR40" s="536"/>
      <c r="CS40" s="193"/>
      <c r="CT40" s="595"/>
      <c r="CU40" s="594"/>
      <c r="CV40" s="641"/>
      <c r="CW40" s="639"/>
      <c r="CX40" s="661"/>
      <c r="CY40" s="641"/>
      <c r="CZ40" s="649"/>
      <c r="DA40" s="649"/>
      <c r="DB40" s="645"/>
      <c r="DC40" s="193"/>
      <c r="DD40" s="193"/>
      <c r="DE40" s="193"/>
      <c r="DF40" s="193"/>
      <c r="DG40" s="193"/>
      <c r="DH40" s="193"/>
      <c r="DI40" s="193"/>
      <c r="DJ40" s="193"/>
      <c r="DK40" s="193"/>
      <c r="DL40" s="193"/>
      <c r="DM40" s="193"/>
      <c r="DN40" s="193"/>
      <c r="DO40" s="193"/>
      <c r="DP40" s="193" t="s">
        <v>2</v>
      </c>
      <c r="DQ40" s="193"/>
      <c r="DR40" s="193"/>
      <c r="DS40" s="193"/>
      <c r="DT40" s="193"/>
      <c r="DU40" s="193"/>
      <c r="DV40" s="193"/>
      <c r="DW40" s="193"/>
      <c r="DX40" s="193"/>
      <c r="DY40" s="193"/>
      <c r="DZ40" s="193"/>
      <c r="EA40" s="193"/>
      <c r="EB40" s="193"/>
      <c r="EC40" s="193"/>
      <c r="ED40" s="193"/>
      <c r="EE40" s="193"/>
      <c r="EF40" s="193"/>
      <c r="EG40" s="193"/>
      <c r="EH40" s="193"/>
      <c r="EI40" s="193"/>
      <c r="EJ40" s="193"/>
      <c r="EK40" s="193"/>
      <c r="EL40" s="193"/>
      <c r="EM40" s="193"/>
      <c r="EN40" s="193"/>
      <c r="EO40" s="193"/>
      <c r="EP40" s="193"/>
      <c r="EQ40" s="193"/>
      <c r="ER40" s="193"/>
      <c r="ES40" s="193"/>
      <c r="ET40" s="193"/>
      <c r="EU40" s="193"/>
    </row>
    <row r="41" spans="1:151" ht="12.9">
      <c r="A41" s="534" t="s">
        <v>527</v>
      </c>
      <c r="B41" s="193"/>
      <c r="C41" s="679">
        <f>D40</f>
        <v>324000</v>
      </c>
      <c r="D41" s="625">
        <f>ROUND(0.1*D40,0)</f>
        <v>32400</v>
      </c>
      <c r="E41" s="283"/>
      <c r="F41" s="675">
        <v>2051350</v>
      </c>
      <c r="G41" s="193"/>
      <c r="H41" s="193"/>
      <c r="I41" s="193"/>
      <c r="J41" s="193"/>
      <c r="K41" s="193"/>
      <c r="L41" s="193"/>
      <c r="M41" s="193"/>
      <c r="N41" s="193"/>
      <c r="O41" s="193"/>
      <c r="P41" s="193"/>
      <c r="Q41" s="193"/>
      <c r="R41" s="193"/>
      <c r="S41" s="193"/>
      <c r="T41" s="193"/>
      <c r="U41" s="193"/>
      <c r="V41" s="193"/>
      <c r="W41" s="193"/>
      <c r="X41" s="193"/>
      <c r="Y41" s="193"/>
      <c r="Z41" s="193"/>
      <c r="AA41" s="193"/>
      <c r="AB41" s="193"/>
      <c r="AC41" s="193"/>
      <c r="AD41" s="193"/>
      <c r="AE41" s="193"/>
      <c r="AF41" s="193"/>
      <c r="AG41" s="193"/>
      <c r="AH41" s="193"/>
      <c r="AI41" s="294">
        <f>AI28</f>
        <v>2018</v>
      </c>
      <c r="AJ41" s="652">
        <f>AQ16</f>
        <v>0</v>
      </c>
      <c r="AK41" s="652">
        <f>AQ28</f>
        <v>0</v>
      </c>
      <c r="AL41" s="673">
        <f t="shared" si="2"/>
        <v>0</v>
      </c>
      <c r="AM41" s="637"/>
      <c r="AN41" s="637">
        <f>AN40</f>
        <v>0.96009999999999995</v>
      </c>
      <c r="AO41" s="674">
        <v>0.86006708523264808</v>
      </c>
      <c r="AP41" s="637">
        <f>ROUND(AL41,4)*AN41*AO41</f>
        <v>0</v>
      </c>
      <c r="AQ41" s="672"/>
      <c r="AS41" s="193"/>
      <c r="AT41" s="193"/>
      <c r="AU41" s="294">
        <f>AU28</f>
        <v>2018</v>
      </c>
      <c r="AV41" s="652">
        <f>BB16</f>
        <v>20807.902904469</v>
      </c>
      <c r="AW41" s="652">
        <f>BB28</f>
        <v>20807.902904469</v>
      </c>
      <c r="AX41" s="637">
        <f>(AW41-AV41)/AW41</f>
        <v>0</v>
      </c>
      <c r="AY41" s="637">
        <f>AY40</f>
        <v>0.96009999999999995</v>
      </c>
      <c r="AZ41" s="633">
        <f>AO41</f>
        <v>0.86006708523264808</v>
      </c>
      <c r="BA41" s="637">
        <f>ROUND(AX41,4)*AY41*AZ41</f>
        <v>0</v>
      </c>
      <c r="BB41" s="193"/>
      <c r="BC41" s="193"/>
      <c r="BD41" s="193"/>
      <c r="BE41" s="193"/>
      <c r="BF41" s="193"/>
      <c r="BG41" s="193"/>
      <c r="BH41" s="193"/>
      <c r="BI41" s="193"/>
      <c r="BJ41" s="193"/>
      <c r="BK41" s="193"/>
      <c r="BL41" s="193"/>
      <c r="BM41" s="193"/>
      <c r="BN41" s="193"/>
      <c r="BO41" s="193"/>
      <c r="BP41" s="193"/>
      <c r="BQ41" s="193"/>
      <c r="BR41" s="193"/>
      <c r="BS41" s="193"/>
      <c r="BT41" s="193"/>
      <c r="BU41" s="193"/>
      <c r="BV41" s="193"/>
      <c r="BW41" s="193"/>
      <c r="BX41" s="193"/>
      <c r="BY41" s="193"/>
      <c r="BZ41" s="193"/>
      <c r="CA41" s="193"/>
      <c r="CB41" s="193"/>
      <c r="CC41" s="193"/>
      <c r="CD41" s="193"/>
      <c r="CE41" s="193"/>
      <c r="CF41" s="193"/>
      <c r="CG41" s="193"/>
      <c r="CH41" s="193"/>
      <c r="CI41" s="193"/>
      <c r="CJ41" s="193"/>
      <c r="CK41" s="193"/>
      <c r="CL41" s="193"/>
      <c r="CM41" s="193"/>
      <c r="CN41" s="193"/>
      <c r="CO41" s="193"/>
      <c r="CP41" s="193"/>
      <c r="CQ41" s="193"/>
      <c r="CR41" s="193"/>
      <c r="CS41" s="193"/>
      <c r="CT41" s="193"/>
      <c r="CU41" s="594"/>
      <c r="CV41" s="641"/>
      <c r="CW41" s="639"/>
      <c r="CX41" s="661"/>
      <c r="CY41" s="648"/>
      <c r="CZ41" s="641"/>
      <c r="DA41" s="641"/>
      <c r="DB41" s="193"/>
      <c r="DC41" s="193"/>
      <c r="DD41" s="193"/>
      <c r="DE41" s="193"/>
      <c r="DF41" s="193"/>
      <c r="DG41" s="193"/>
      <c r="DH41" s="193"/>
      <c r="DI41" s="193"/>
      <c r="DJ41" s="193"/>
      <c r="DK41" s="193"/>
      <c r="DL41" s="193"/>
      <c r="DM41" s="193"/>
      <c r="DN41" s="193"/>
      <c r="DO41" s="193"/>
      <c r="DP41" s="535" t="s">
        <v>122</v>
      </c>
      <c r="DQ41" s="193"/>
      <c r="DR41" s="193"/>
      <c r="DS41" s="680" t="s">
        <v>566</v>
      </c>
      <c r="DT41" s="193"/>
      <c r="DU41" s="193"/>
      <c r="DV41" s="193" t="s">
        <v>123</v>
      </c>
      <c r="DW41" s="193"/>
      <c r="DX41" s="193"/>
      <c r="DY41" s="193"/>
      <c r="DZ41" s="193"/>
      <c r="EA41" s="193"/>
      <c r="EB41" s="193"/>
      <c r="EC41" s="193"/>
      <c r="ED41" s="193"/>
      <c r="EE41" s="193"/>
      <c r="EF41" s="193"/>
      <c r="EG41" s="193"/>
      <c r="EH41" s="193"/>
      <c r="EI41" s="193"/>
      <c r="EJ41" s="193"/>
      <c r="EK41" s="193"/>
      <c r="EL41" s="193"/>
      <c r="EM41" s="193"/>
      <c r="EN41" s="193"/>
      <c r="EO41" s="193"/>
      <c r="EP41" s="193"/>
      <c r="EQ41" s="193"/>
      <c r="ER41" s="193"/>
      <c r="ES41" s="193"/>
      <c r="ET41" s="193"/>
      <c r="EU41" s="193"/>
    </row>
    <row r="42" spans="1:151" ht="12.9">
      <c r="A42" s="193"/>
      <c r="B42" s="193"/>
      <c r="C42" s="193"/>
      <c r="D42" s="193"/>
      <c r="E42" s="193"/>
      <c r="F42" s="193"/>
      <c r="G42" s="193"/>
      <c r="H42" s="193"/>
      <c r="I42" s="193"/>
      <c r="J42" s="193"/>
      <c r="K42" s="193"/>
      <c r="L42" s="193"/>
      <c r="M42" s="193"/>
      <c r="N42" s="193"/>
      <c r="O42" s="193"/>
      <c r="P42" s="193"/>
      <c r="Q42" s="193"/>
      <c r="R42" s="193"/>
      <c r="S42" s="193"/>
      <c r="T42" s="193"/>
      <c r="U42" s="193"/>
      <c r="V42" s="193"/>
      <c r="W42" s="193"/>
      <c r="X42" s="193"/>
      <c r="Y42" s="193"/>
      <c r="Z42" s="193"/>
      <c r="AA42" s="193"/>
      <c r="AB42" s="193"/>
      <c r="AC42" s="193"/>
      <c r="AD42" s="193"/>
      <c r="AE42" s="193"/>
      <c r="AF42" s="193"/>
      <c r="AG42" s="193"/>
      <c r="AH42" s="193"/>
      <c r="AI42" s="294">
        <f>AI29</f>
        <v>2019</v>
      </c>
      <c r="AJ42" s="652">
        <f>AQ17</f>
        <v>9609.1877770039991</v>
      </c>
      <c r="AK42" s="652">
        <f>AQ29</f>
        <v>9609.1877770039991</v>
      </c>
      <c r="AL42" s="673">
        <f t="shared" si="2"/>
        <v>0</v>
      </c>
      <c r="AM42" s="637"/>
      <c r="AN42" s="637">
        <f>AN41</f>
        <v>0.96009999999999995</v>
      </c>
      <c r="AO42" s="674">
        <v>0.88754770568918073</v>
      </c>
      <c r="AP42" s="637">
        <f>ROUND(AL42,4)*AN42*AO42</f>
        <v>0</v>
      </c>
      <c r="AQ42" s="672"/>
      <c r="AS42" s="193"/>
      <c r="AT42" s="193"/>
      <c r="AU42" s="294">
        <f>AU29</f>
        <v>2019</v>
      </c>
      <c r="AV42" s="652">
        <f>BB17</f>
        <v>28671.451081852003</v>
      </c>
      <c r="AW42" s="652">
        <f>BB29</f>
        <v>28671.451081852003</v>
      </c>
      <c r="AX42" s="637">
        <f>(AW42-AV42)/AW42</f>
        <v>0</v>
      </c>
      <c r="AY42" s="637">
        <f>AY41</f>
        <v>0.96009999999999995</v>
      </c>
      <c r="AZ42" s="633">
        <f>AO42</f>
        <v>0.88754770568918073</v>
      </c>
      <c r="BA42" s="637">
        <f>ROUND(AX42,4)*AY42*AZ42</f>
        <v>0</v>
      </c>
      <c r="BB42" s="193"/>
      <c r="BC42" s="193"/>
      <c r="BD42" s="193"/>
      <c r="BE42" s="193"/>
      <c r="BF42" s="193"/>
      <c r="BG42" s="193"/>
      <c r="BH42" s="193"/>
      <c r="BI42" s="193"/>
      <c r="BJ42" s="193"/>
      <c r="BK42" s="193"/>
      <c r="BL42" s="193"/>
      <c r="BM42" s="193"/>
      <c r="BN42" s="193"/>
      <c r="BO42" s="193"/>
      <c r="BP42" s="193"/>
      <c r="BQ42" s="193"/>
      <c r="BR42" s="193"/>
      <c r="BS42" s="193"/>
      <c r="BT42" s="193"/>
      <c r="BU42" s="193"/>
      <c r="BV42" s="193"/>
      <c r="BW42" s="193"/>
      <c r="BX42" s="193"/>
      <c r="BY42" s="193"/>
      <c r="BZ42" s="193"/>
      <c r="CA42" s="193"/>
      <c r="CB42" s="193"/>
      <c r="CC42" s="193"/>
      <c r="CD42" s="193"/>
      <c r="CE42" s="193"/>
      <c r="CF42" s="193"/>
      <c r="CG42" s="193"/>
      <c r="CH42" s="193"/>
      <c r="CI42" s="193"/>
      <c r="CJ42" s="193"/>
      <c r="CK42" s="193"/>
      <c r="CL42" s="193"/>
      <c r="CM42" s="193"/>
      <c r="CN42" s="193"/>
      <c r="CO42" s="193"/>
      <c r="CP42" s="193"/>
      <c r="CQ42" s="193"/>
      <c r="CR42" s="193"/>
      <c r="CS42" s="193"/>
      <c r="CT42" s="193"/>
      <c r="CU42" s="193"/>
      <c r="CV42" s="193"/>
      <c r="CW42" s="193"/>
      <c r="CX42" s="193"/>
      <c r="CY42" s="193"/>
      <c r="CZ42" s="193"/>
      <c r="DA42" s="193"/>
      <c r="DB42" s="193"/>
      <c r="DC42" s="193"/>
      <c r="DD42" s="193"/>
      <c r="DE42" s="193"/>
      <c r="DF42" s="193"/>
      <c r="DG42" s="193"/>
      <c r="DH42" s="193"/>
      <c r="DI42" s="193"/>
      <c r="DJ42" s="193"/>
      <c r="DK42" s="193"/>
      <c r="DL42" s="193"/>
      <c r="DM42" s="193"/>
      <c r="DN42" s="193"/>
      <c r="DO42" s="193"/>
      <c r="DP42" s="193" t="s">
        <v>124</v>
      </c>
      <c r="DQ42" s="193"/>
      <c r="DR42" s="193"/>
      <c r="DS42" s="193">
        <v>5</v>
      </c>
      <c r="DT42" s="193"/>
      <c r="DU42" s="193"/>
      <c r="DV42" s="193"/>
      <c r="DW42" s="193"/>
      <c r="DX42" s="193"/>
      <c r="DY42" s="193"/>
      <c r="DZ42" s="193"/>
      <c r="EA42" s="193"/>
      <c r="EB42" s="193"/>
      <c r="EC42" s="193"/>
      <c r="ED42" s="193"/>
      <c r="EE42" s="193"/>
      <c r="EF42" s="193"/>
      <c r="EG42" s="193"/>
      <c r="EH42" s="193"/>
      <c r="EI42" s="193"/>
      <c r="EJ42" s="193"/>
      <c r="EK42" s="193"/>
      <c r="EL42" s="193"/>
      <c r="EM42" s="193"/>
      <c r="EN42" s="193"/>
      <c r="EO42" s="193"/>
      <c r="EP42" s="193"/>
      <c r="EQ42" s="193"/>
      <c r="ER42" s="193"/>
      <c r="ES42" s="193"/>
      <c r="ET42" s="193"/>
      <c r="EU42" s="193"/>
    </row>
    <row r="43" spans="1:151" ht="12.9">
      <c r="A43" s="534" t="s">
        <v>584</v>
      </c>
      <c r="B43" s="193"/>
      <c r="C43" s="193"/>
      <c r="D43" s="193"/>
      <c r="E43" s="193"/>
      <c r="F43" s="193"/>
      <c r="G43" s="193"/>
      <c r="H43" s="193"/>
      <c r="I43" s="193"/>
      <c r="J43" s="193"/>
      <c r="K43" s="193"/>
      <c r="L43" s="193"/>
      <c r="M43" s="193"/>
      <c r="N43" s="193"/>
      <c r="O43" s="193"/>
      <c r="P43" s="193"/>
      <c r="Q43" s="193"/>
      <c r="R43" s="193"/>
      <c r="S43" s="193"/>
      <c r="T43" s="193"/>
      <c r="U43" s="193"/>
      <c r="V43" s="193"/>
      <c r="W43" s="193"/>
      <c r="X43" s="193"/>
      <c r="Y43" s="193"/>
      <c r="Z43" s="193"/>
      <c r="AA43" s="193"/>
      <c r="AB43" s="193"/>
      <c r="AC43" s="193"/>
      <c r="AD43" s="193"/>
      <c r="AE43" s="193"/>
      <c r="AF43" s="193"/>
      <c r="AG43" s="193"/>
      <c r="AH43" s="193"/>
      <c r="AI43" s="193"/>
      <c r="AJ43" s="193"/>
      <c r="AK43" s="193"/>
      <c r="AL43" s="193"/>
      <c r="AM43" s="193"/>
      <c r="AN43" s="193"/>
      <c r="AO43" s="193"/>
      <c r="AP43" s="193"/>
      <c r="AQ43" s="672"/>
      <c r="AS43" s="193"/>
      <c r="AT43" s="193"/>
      <c r="AU43" s="193"/>
      <c r="AV43" s="193"/>
      <c r="AW43" s="193"/>
      <c r="AX43" s="193"/>
      <c r="AY43" s="193"/>
      <c r="AZ43" s="193"/>
      <c r="BA43" s="193"/>
      <c r="BB43" s="193"/>
      <c r="BC43" s="193"/>
      <c r="BD43" s="193"/>
      <c r="BE43" s="193"/>
      <c r="BF43" s="193"/>
      <c r="BG43" s="193"/>
      <c r="BH43" s="193"/>
      <c r="BI43" s="193"/>
      <c r="BJ43" s="193"/>
      <c r="BK43" s="193"/>
      <c r="BL43" s="193"/>
      <c r="BM43" s="193"/>
      <c r="BN43" s="193"/>
      <c r="BO43" s="193"/>
      <c r="BP43" s="193"/>
      <c r="BQ43" s="193"/>
      <c r="BR43" s="193"/>
      <c r="BS43" s="193"/>
      <c r="BT43" s="193"/>
      <c r="BU43" s="193"/>
      <c r="BV43" s="193"/>
      <c r="BW43" s="193"/>
      <c r="BX43" s="193"/>
      <c r="BY43" s="193"/>
      <c r="BZ43" s="193"/>
      <c r="CA43" s="193"/>
      <c r="CB43" s="193"/>
      <c r="CC43" s="193"/>
      <c r="CD43" s="193"/>
      <c r="CE43" s="193"/>
      <c r="CF43" s="193"/>
      <c r="CG43" s="193"/>
      <c r="CH43" s="193"/>
      <c r="CI43" s="193"/>
      <c r="CJ43" s="193"/>
      <c r="CK43" s="193"/>
      <c r="CL43" s="193"/>
      <c r="CM43" s="193"/>
      <c r="CN43" s="193"/>
      <c r="CO43" s="193"/>
      <c r="CP43" s="193"/>
      <c r="CQ43" s="193"/>
      <c r="CR43" s="193"/>
      <c r="CS43" s="193"/>
      <c r="CT43" s="193"/>
      <c r="CU43" s="193"/>
      <c r="CV43" s="193"/>
      <c r="CW43" s="193"/>
      <c r="CX43" s="193"/>
      <c r="CY43" s="193"/>
      <c r="CZ43" s="193"/>
      <c r="DA43" s="193"/>
      <c r="DB43" s="193"/>
      <c r="DC43" s="193"/>
      <c r="DD43" s="193"/>
      <c r="DE43" s="193"/>
      <c r="DF43" s="193"/>
      <c r="DG43" s="193"/>
      <c r="DH43" s="193"/>
      <c r="DI43" s="193"/>
      <c r="DJ43" s="193"/>
      <c r="DK43" s="193"/>
      <c r="DL43" s="193"/>
      <c r="DM43" s="193"/>
      <c r="DN43" s="193"/>
      <c r="DO43" s="193"/>
      <c r="DP43" s="193" t="s">
        <v>125</v>
      </c>
      <c r="DQ43" s="193"/>
      <c r="DR43" s="193"/>
      <c r="DS43" s="193"/>
      <c r="DT43" s="193"/>
      <c r="DU43" s="193" t="s">
        <v>126</v>
      </c>
      <c r="DV43" s="193"/>
      <c r="DW43" s="193"/>
      <c r="DX43" s="193"/>
      <c r="DY43" s="193"/>
      <c r="DZ43" s="193"/>
      <c r="EA43" s="193"/>
      <c r="EB43" s="193"/>
      <c r="EC43" s="193"/>
      <c r="ED43" s="193"/>
      <c r="EE43" s="193"/>
      <c r="EF43" s="193"/>
      <c r="EG43" s="193"/>
      <c r="EH43" s="193"/>
      <c r="EI43" s="193"/>
      <c r="EJ43" s="193"/>
      <c r="EK43" s="193"/>
      <c r="EL43" s="193"/>
      <c r="EM43" s="193"/>
      <c r="EN43" s="193"/>
      <c r="EO43" s="193"/>
      <c r="EP43" s="193"/>
      <c r="EQ43" s="193"/>
      <c r="ER43" s="193"/>
      <c r="ES43" s="193"/>
      <c r="ET43" s="193"/>
      <c r="EU43" s="193"/>
    </row>
    <row r="44" spans="1:151" ht="12.9">
      <c r="A44" s="193"/>
      <c r="B44" s="193"/>
      <c r="C44" s="193"/>
      <c r="D44" s="193"/>
      <c r="E44" s="193"/>
      <c r="F44" s="193"/>
      <c r="G44" s="193"/>
      <c r="H44" s="193"/>
      <c r="I44" s="193"/>
      <c r="J44" s="193"/>
      <c r="K44" s="193"/>
      <c r="L44" s="193"/>
      <c r="M44" s="534" t="s">
        <v>455</v>
      </c>
      <c r="N44" s="193"/>
      <c r="O44" s="193"/>
      <c r="P44" s="193"/>
      <c r="Q44" s="193"/>
      <c r="R44" s="193"/>
      <c r="S44" s="193"/>
      <c r="T44" s="193"/>
      <c r="U44" s="193"/>
      <c r="V44" s="193"/>
      <c r="W44" s="193"/>
      <c r="X44" s="193"/>
      <c r="Y44" s="193"/>
      <c r="Z44" s="193"/>
      <c r="AA44" s="193"/>
      <c r="AB44" s="193"/>
      <c r="AC44" s="193"/>
      <c r="AD44" s="193"/>
      <c r="AE44" s="193"/>
      <c r="AF44" s="193"/>
      <c r="AG44" s="193"/>
      <c r="AH44" s="193"/>
      <c r="AI44" s="193"/>
      <c r="AJ44" s="193"/>
      <c r="AK44" s="193"/>
      <c r="AL44" s="193"/>
      <c r="AM44" s="193"/>
      <c r="AN44" s="193"/>
      <c r="AO44" s="193"/>
      <c r="AP44" s="193"/>
      <c r="AQ44" s="193"/>
      <c r="AS44" s="193"/>
      <c r="AT44" s="193"/>
      <c r="AU44" s="193"/>
      <c r="AV44" s="193"/>
      <c r="AW44" s="193"/>
      <c r="AX44" s="193"/>
      <c r="AY44" s="193"/>
      <c r="AZ44" s="193"/>
      <c r="BA44" s="193"/>
      <c r="BB44" s="193"/>
      <c r="BC44" s="193"/>
      <c r="BD44" s="193"/>
      <c r="BE44" s="193"/>
      <c r="BF44" s="193"/>
      <c r="BG44" s="193"/>
      <c r="BH44" s="193"/>
      <c r="BI44" s="193"/>
      <c r="BJ44" s="193"/>
      <c r="BK44" s="193"/>
      <c r="BL44" s="193"/>
      <c r="BM44" s="193"/>
      <c r="BN44" s="193"/>
      <c r="BO44" s="193"/>
      <c r="BP44" s="193"/>
      <c r="BQ44" s="193"/>
      <c r="BR44" s="193"/>
      <c r="BS44" s="193"/>
      <c r="BT44" s="193"/>
      <c r="BU44" s="193"/>
      <c r="BV44" s="193"/>
      <c r="BW44" s="193"/>
      <c r="BX44" s="193"/>
      <c r="BY44" s="193"/>
      <c r="BZ44" s="193"/>
      <c r="CA44" s="193"/>
      <c r="CB44" s="193"/>
      <c r="CC44" s="193"/>
      <c r="CD44" s="193"/>
      <c r="CE44" s="193"/>
      <c r="CF44" s="193"/>
      <c r="CG44" s="193"/>
      <c r="CH44" s="193"/>
      <c r="CI44" s="193"/>
      <c r="CJ44" s="193"/>
      <c r="CK44" s="193"/>
      <c r="CL44" s="193"/>
      <c r="CM44" s="193"/>
      <c r="CN44" s="193"/>
      <c r="CO44" s="193"/>
      <c r="CP44" s="193"/>
      <c r="CQ44" s="193"/>
      <c r="CR44" s="193"/>
      <c r="CS44" s="193"/>
      <c r="CT44" s="193"/>
      <c r="CU44" s="193"/>
      <c r="CV44" s="193"/>
      <c r="CW44" s="193"/>
      <c r="CX44" s="193"/>
      <c r="CY44" s="193"/>
      <c r="CZ44" s="193"/>
      <c r="DA44" s="193"/>
      <c r="DB44" s="193"/>
      <c r="DC44" s="193"/>
      <c r="DD44" s="193"/>
      <c r="DE44" s="193"/>
      <c r="DF44" s="193"/>
      <c r="DG44" s="193"/>
      <c r="DH44" s="193"/>
      <c r="DI44" s="193"/>
      <c r="DJ44" s="193"/>
      <c r="DK44" s="193"/>
      <c r="DL44" s="193"/>
      <c r="DM44" s="193"/>
      <c r="DN44" s="193"/>
      <c r="DO44" s="193"/>
      <c r="DP44" s="193" t="s">
        <v>127</v>
      </c>
      <c r="DQ44" s="193"/>
      <c r="DR44" s="193"/>
      <c r="DS44" s="193" t="s">
        <v>128</v>
      </c>
      <c r="DT44" s="193"/>
      <c r="DU44" s="193"/>
      <c r="DV44" s="193"/>
      <c r="DW44" s="193"/>
      <c r="DX44" s="193"/>
      <c r="DY44" s="193"/>
      <c r="DZ44" s="193"/>
      <c r="EA44" s="193"/>
      <c r="EB44" s="193"/>
      <c r="EC44" s="193"/>
      <c r="ED44" s="193"/>
      <c r="EE44" s="193"/>
      <c r="EF44" s="193"/>
      <c r="EG44" s="193"/>
      <c r="EH44" s="193"/>
      <c r="EI44" s="193"/>
      <c r="EJ44" s="193"/>
      <c r="EK44" s="193"/>
      <c r="EL44" s="193"/>
      <c r="EM44" s="193"/>
      <c r="EN44" s="193"/>
      <c r="EO44" s="193"/>
      <c r="EP44" s="193"/>
      <c r="EQ44" s="193"/>
      <c r="ER44" s="193"/>
      <c r="ES44" s="193"/>
      <c r="ET44" s="193"/>
      <c r="EU44" s="193"/>
    </row>
    <row r="45" spans="1:151" ht="12.9">
      <c r="A45" s="535"/>
      <c r="B45" s="193"/>
      <c r="C45" s="193"/>
      <c r="D45" s="193"/>
      <c r="E45" s="193"/>
      <c r="F45" s="193"/>
      <c r="G45" s="193"/>
      <c r="H45" s="193"/>
      <c r="I45" s="193"/>
      <c r="J45" s="193"/>
      <c r="K45" s="193"/>
      <c r="L45" s="193"/>
      <c r="M45" s="193"/>
      <c r="N45" s="193"/>
      <c r="O45" s="193"/>
      <c r="P45" s="193"/>
      <c r="Q45" s="193"/>
      <c r="R45" s="193"/>
      <c r="S45" s="193"/>
      <c r="T45" s="193"/>
      <c r="U45" s="193"/>
      <c r="V45" s="193"/>
      <c r="W45" s="193"/>
      <c r="X45" s="193"/>
      <c r="Y45" s="193"/>
      <c r="Z45" s="193"/>
      <c r="AA45" s="193"/>
      <c r="AB45" s="193"/>
      <c r="AC45" s="193"/>
      <c r="AD45" s="193"/>
      <c r="AE45" s="193"/>
      <c r="AF45" s="193"/>
      <c r="AG45" s="193"/>
      <c r="AH45" s="193"/>
      <c r="AI45" s="193"/>
      <c r="AJ45" s="193"/>
      <c r="AK45" s="193"/>
      <c r="AL45" s="193"/>
      <c r="AM45" s="193"/>
      <c r="AN45" s="193"/>
      <c r="AO45" s="193"/>
      <c r="AP45" s="193"/>
      <c r="AQ45" s="672"/>
      <c r="AS45" s="193"/>
      <c r="AT45" s="193"/>
      <c r="AU45" s="193"/>
      <c r="AV45" s="193"/>
      <c r="AW45" s="193"/>
      <c r="AX45" s="193"/>
      <c r="AY45" s="193"/>
      <c r="AZ45" s="193"/>
      <c r="BA45" s="193"/>
      <c r="BB45" s="193"/>
      <c r="BC45" s="193"/>
      <c r="BD45" s="193"/>
      <c r="BE45" s="193"/>
      <c r="BF45" s="193"/>
      <c r="BG45" s="193"/>
      <c r="BH45" s="193"/>
      <c r="BI45" s="193"/>
      <c r="BJ45" s="193"/>
      <c r="BK45" s="193"/>
      <c r="BL45" s="193"/>
      <c r="BM45" s="193"/>
      <c r="BN45" s="193"/>
      <c r="BO45" s="193"/>
      <c r="BP45" s="193"/>
      <c r="BQ45" s="193"/>
      <c r="BR45" s="193"/>
      <c r="BS45" s="193"/>
      <c r="BT45" s="193"/>
      <c r="BU45" s="193"/>
      <c r="BV45" s="193"/>
      <c r="BW45" s="193"/>
      <c r="BX45" s="193"/>
      <c r="BY45" s="193"/>
      <c r="BZ45" s="193"/>
      <c r="CA45" s="193"/>
      <c r="CB45" s="193"/>
      <c r="CC45" s="193"/>
      <c r="CD45" s="193"/>
      <c r="CE45" s="193"/>
      <c r="CF45" s="193"/>
      <c r="CG45" s="193"/>
      <c r="CH45" s="193"/>
      <c r="CI45" s="193"/>
      <c r="CJ45" s="193"/>
      <c r="CK45" s="193"/>
      <c r="CL45" s="193"/>
      <c r="CM45" s="193"/>
      <c r="CN45" s="193"/>
      <c r="CO45" s="193"/>
      <c r="CP45" s="193"/>
      <c r="CQ45" s="193"/>
      <c r="CR45" s="193"/>
      <c r="CS45" s="193"/>
      <c r="CT45" s="193"/>
      <c r="CU45" s="193"/>
      <c r="CV45" s="193"/>
      <c r="CW45" s="193"/>
      <c r="CX45" s="193"/>
      <c r="CY45" s="193"/>
      <c r="CZ45" s="193"/>
      <c r="DA45" s="193"/>
      <c r="DB45" s="193"/>
      <c r="DC45" s="193"/>
      <c r="DD45" s="193"/>
      <c r="DE45" s="193"/>
      <c r="DF45" s="193"/>
      <c r="DG45" s="193"/>
      <c r="DH45" s="193"/>
      <c r="DI45" s="193"/>
      <c r="DJ45" s="193"/>
      <c r="DK45" s="193"/>
      <c r="DL45" s="193"/>
      <c r="DM45" s="193"/>
      <c r="DN45" s="193"/>
      <c r="DO45" s="193"/>
      <c r="DP45" s="193" t="s">
        <v>129</v>
      </c>
      <c r="DQ45" s="193"/>
      <c r="DR45" s="193"/>
      <c r="DS45" s="193"/>
      <c r="DT45" s="193" t="s">
        <v>130</v>
      </c>
      <c r="DU45" s="536"/>
      <c r="DV45" s="193"/>
      <c r="DW45" s="193"/>
      <c r="DX45" s="193"/>
      <c r="DY45" s="193"/>
      <c r="DZ45" s="193"/>
      <c r="EA45" s="193"/>
      <c r="EB45" s="193"/>
      <c r="EC45" s="193"/>
      <c r="ED45" s="193"/>
      <c r="EE45" s="193"/>
      <c r="EF45" s="193"/>
      <c r="EG45" s="193"/>
      <c r="EH45" s="193"/>
      <c r="EI45" s="193"/>
      <c r="EJ45" s="193"/>
      <c r="EK45" s="193"/>
      <c r="EL45" s="193"/>
      <c r="EM45" s="193"/>
      <c r="EN45" s="193"/>
      <c r="EO45" s="193"/>
      <c r="EP45" s="193"/>
      <c r="EQ45" s="193"/>
      <c r="ER45" s="193"/>
      <c r="ES45" s="193"/>
      <c r="ET45" s="193"/>
      <c r="EU45" s="193"/>
    </row>
    <row r="46" spans="1:151" ht="12.9">
      <c r="A46" s="535"/>
      <c r="B46" s="193"/>
      <c r="C46" s="193"/>
      <c r="D46" s="193"/>
      <c r="E46" s="193"/>
      <c r="F46" s="193"/>
      <c r="G46" s="193"/>
      <c r="H46" s="193"/>
      <c r="I46" s="193"/>
      <c r="J46" s="193"/>
      <c r="K46" s="193"/>
      <c r="L46" s="193"/>
      <c r="M46" s="193"/>
      <c r="N46" s="193"/>
      <c r="O46" s="193"/>
      <c r="P46" s="193"/>
      <c r="Q46" s="193"/>
      <c r="R46" s="193"/>
      <c r="S46" s="193"/>
      <c r="T46" s="193"/>
      <c r="U46" s="193"/>
      <c r="V46" s="193"/>
      <c r="W46" s="193"/>
      <c r="X46" s="193"/>
      <c r="Y46" s="193"/>
      <c r="Z46" s="193"/>
      <c r="AA46" s="193"/>
      <c r="AB46" s="193"/>
      <c r="AC46" s="193"/>
      <c r="AD46" s="193"/>
      <c r="AE46" s="193"/>
      <c r="AF46" s="193"/>
      <c r="AG46" s="193"/>
      <c r="AH46" s="193"/>
      <c r="AI46" s="193"/>
      <c r="AJ46" s="193"/>
      <c r="AK46" s="193"/>
      <c r="AL46" s="193"/>
      <c r="AM46" s="193"/>
      <c r="AN46" s="193"/>
      <c r="AO46" s="193"/>
      <c r="AP46" s="193"/>
      <c r="AQ46" s="193"/>
      <c r="AR46" s="193"/>
      <c r="AS46" s="193"/>
      <c r="AT46" s="193"/>
      <c r="AU46" s="193"/>
      <c r="AV46" s="193"/>
      <c r="AW46" s="193"/>
      <c r="AX46" s="193"/>
      <c r="AY46" s="193"/>
      <c r="AZ46" s="193"/>
      <c r="BA46" s="193"/>
      <c r="BB46" s="193"/>
      <c r="BC46" s="193"/>
      <c r="BD46" s="193"/>
      <c r="BE46" s="193"/>
      <c r="BF46" s="193"/>
      <c r="BG46" s="193"/>
      <c r="BH46" s="193"/>
      <c r="BI46" s="193"/>
      <c r="BJ46" s="193"/>
      <c r="BK46" s="193"/>
      <c r="BL46" s="193"/>
      <c r="BM46" s="193"/>
      <c r="BN46" s="193"/>
      <c r="BO46" s="193"/>
      <c r="BP46" s="193"/>
      <c r="BQ46" s="193"/>
      <c r="BR46" s="193"/>
      <c r="BS46" s="193"/>
      <c r="BT46" s="193"/>
      <c r="BU46" s="193"/>
      <c r="BV46" s="193"/>
      <c r="BW46" s="193"/>
      <c r="BX46" s="193"/>
      <c r="BY46" s="193"/>
      <c r="BZ46" s="193"/>
      <c r="CA46" s="193"/>
      <c r="CB46" s="193"/>
      <c r="CC46" s="193"/>
      <c r="CD46" s="193"/>
      <c r="CE46" s="193"/>
      <c r="CF46" s="193"/>
      <c r="CG46" s="193"/>
      <c r="CH46" s="193"/>
      <c r="CI46" s="193"/>
      <c r="CJ46" s="193"/>
      <c r="CK46" s="193"/>
      <c r="CL46" s="193"/>
      <c r="CM46" s="193"/>
      <c r="CN46" s="193"/>
      <c r="CO46" s="193"/>
      <c r="CP46" s="193"/>
      <c r="CQ46" s="193"/>
      <c r="CR46" s="193"/>
      <c r="CS46" s="193"/>
      <c r="CT46" s="193"/>
      <c r="CU46" s="193"/>
      <c r="CV46" s="193"/>
      <c r="CW46" s="193"/>
      <c r="CX46" s="193"/>
      <c r="CY46" s="193"/>
      <c r="CZ46" s="193"/>
      <c r="DA46" s="193"/>
      <c r="DB46" s="193"/>
      <c r="DC46" s="193"/>
      <c r="DD46" s="193"/>
      <c r="DE46" s="193"/>
      <c r="DF46" s="193"/>
      <c r="DG46" s="193"/>
      <c r="DH46" s="193"/>
      <c r="DI46" s="193"/>
      <c r="DJ46" s="193"/>
      <c r="DK46" s="193"/>
      <c r="DL46" s="193"/>
      <c r="DM46" s="193"/>
      <c r="DN46" s="193"/>
      <c r="DO46" s="193"/>
      <c r="DP46" s="193" t="s">
        <v>131</v>
      </c>
      <c r="DQ46" s="193"/>
      <c r="DR46" s="193"/>
      <c r="DS46" s="193"/>
      <c r="DT46" s="193"/>
      <c r="DU46" s="193"/>
      <c r="DV46" s="193"/>
      <c r="DW46" s="193"/>
      <c r="DX46" s="193"/>
      <c r="DY46" s="193"/>
      <c r="DZ46" s="193"/>
      <c r="EA46" s="193"/>
      <c r="EB46" s="193"/>
      <c r="EC46" s="193"/>
      <c r="ED46" s="193"/>
      <c r="EE46" s="193"/>
      <c r="EF46" s="193"/>
      <c r="EG46" s="193"/>
      <c r="EH46" s="193"/>
      <c r="EI46" s="193"/>
      <c r="EJ46" s="193"/>
      <c r="EK46" s="193"/>
      <c r="EL46" s="193"/>
      <c r="EM46" s="193"/>
      <c r="EN46" s="193"/>
      <c r="EO46" s="193"/>
      <c r="EP46" s="193"/>
      <c r="EQ46" s="193"/>
      <c r="ER46" s="193"/>
      <c r="ES46" s="193"/>
      <c r="ET46" s="193"/>
      <c r="EU46" s="193"/>
    </row>
    <row r="47" spans="1:151" ht="12.9">
      <c r="A47" s="535"/>
      <c r="B47" s="193"/>
      <c r="C47" s="193"/>
      <c r="D47" s="193"/>
      <c r="E47" s="193"/>
      <c r="F47" s="193"/>
      <c r="G47" s="193"/>
      <c r="H47" s="193"/>
      <c r="I47" s="193"/>
      <c r="J47" s="193"/>
      <c r="K47" s="193"/>
      <c r="L47" s="193"/>
      <c r="M47" s="193"/>
      <c r="N47" s="193"/>
      <c r="O47" s="193"/>
      <c r="P47" s="193"/>
      <c r="Q47" s="193"/>
      <c r="R47" s="193"/>
      <c r="S47" s="193"/>
      <c r="T47" s="193"/>
      <c r="U47" s="193"/>
      <c r="V47" s="193"/>
      <c r="W47" s="193"/>
      <c r="X47" s="193"/>
      <c r="Y47" s="193"/>
      <c r="Z47" s="193"/>
      <c r="AA47" s="193"/>
      <c r="AB47" s="193"/>
      <c r="AC47" s="193"/>
      <c r="AD47" s="193"/>
      <c r="AE47" s="193"/>
      <c r="AF47" s="193"/>
      <c r="AG47" s="193"/>
      <c r="AH47" s="193"/>
      <c r="AI47" s="193"/>
      <c r="AJ47" s="193"/>
      <c r="AK47" s="193"/>
      <c r="AL47" s="193"/>
      <c r="AM47" s="193"/>
      <c r="AN47" s="193"/>
      <c r="AO47" s="193"/>
      <c r="AP47" s="193"/>
      <c r="AQ47" s="193"/>
      <c r="AR47" s="193"/>
      <c r="AS47" s="193"/>
      <c r="AT47" s="193"/>
      <c r="AU47" s="193"/>
      <c r="AV47" s="193"/>
      <c r="AW47" s="193"/>
      <c r="AX47" s="193"/>
      <c r="AY47" s="193"/>
      <c r="AZ47" s="193"/>
      <c r="BA47" s="193"/>
      <c r="BB47" s="193"/>
      <c r="BC47" s="193"/>
      <c r="BD47" s="193"/>
      <c r="BE47" s="193"/>
      <c r="BF47" s="193"/>
      <c r="BG47" s="193"/>
      <c r="BH47" s="193"/>
      <c r="BI47" s="193"/>
      <c r="BJ47" s="193"/>
      <c r="BK47" s="193"/>
      <c r="BL47" s="193"/>
      <c r="BM47" s="193"/>
      <c r="BN47" s="193"/>
      <c r="BO47" s="193"/>
      <c r="BP47" s="193"/>
      <c r="BQ47" s="193"/>
      <c r="BR47" s="193"/>
      <c r="BS47" s="193"/>
      <c r="BT47" s="193"/>
      <c r="BU47" s="193"/>
      <c r="BV47" s="193"/>
      <c r="BW47" s="193"/>
      <c r="BX47" s="193"/>
      <c r="BY47" s="193"/>
      <c r="BZ47" s="193"/>
      <c r="CA47" s="193"/>
      <c r="CB47" s="193"/>
      <c r="CC47" s="193"/>
      <c r="CD47" s="193"/>
      <c r="CE47" s="193"/>
      <c r="CF47" s="193"/>
      <c r="CG47" s="193"/>
      <c r="CH47" s="193"/>
      <c r="CI47" s="193"/>
      <c r="CJ47" s="193"/>
      <c r="CK47" s="193"/>
      <c r="CL47" s="193"/>
      <c r="CM47" s="193"/>
      <c r="CN47" s="193"/>
      <c r="CO47" s="193"/>
      <c r="CP47" s="193"/>
      <c r="CQ47" s="193"/>
      <c r="CR47" s="193"/>
      <c r="CS47" s="193"/>
      <c r="CT47" s="193"/>
      <c r="CU47" s="193"/>
      <c r="CV47" s="193"/>
      <c r="CW47" s="193"/>
      <c r="CX47" s="193"/>
      <c r="CY47" s="193"/>
      <c r="CZ47" s="193"/>
      <c r="DA47" s="193"/>
      <c r="DB47" s="193"/>
      <c r="DC47" s="193"/>
      <c r="DD47" s="193"/>
      <c r="DE47" s="193"/>
      <c r="DF47" s="193"/>
      <c r="DG47" s="193"/>
      <c r="DH47" s="193"/>
      <c r="DI47" s="193"/>
      <c r="DJ47" s="193"/>
      <c r="DK47" s="193"/>
      <c r="DL47" s="193"/>
      <c r="DM47" s="193"/>
      <c r="DN47" s="193"/>
      <c r="DO47" s="193"/>
      <c r="DP47" s="193"/>
      <c r="DQ47" s="536" t="s">
        <v>132</v>
      </c>
      <c r="DR47" s="193"/>
      <c r="DS47" s="681">
        <v>1</v>
      </c>
      <c r="DT47" s="193" t="s">
        <v>133</v>
      </c>
      <c r="DU47" s="193"/>
      <c r="DV47" s="645">
        <v>1</v>
      </c>
      <c r="DW47" s="193"/>
      <c r="DX47" s="193" t="s">
        <v>134</v>
      </c>
      <c r="DY47" s="193"/>
      <c r="DZ47" s="645">
        <v>1</v>
      </c>
      <c r="EA47" s="193"/>
      <c r="EB47" s="193"/>
      <c r="EC47" s="193"/>
      <c r="ED47" s="193"/>
      <c r="EE47" s="193"/>
      <c r="EF47" s="193"/>
      <c r="EG47" s="193"/>
      <c r="EH47" s="193"/>
      <c r="EI47" s="193"/>
      <c r="EJ47" s="193"/>
      <c r="EK47" s="193"/>
      <c r="EL47" s="193"/>
      <c r="EM47" s="193"/>
      <c r="EN47" s="193"/>
      <c r="EO47" s="193"/>
      <c r="EP47" s="193"/>
      <c r="EQ47" s="193"/>
      <c r="ER47" s="193"/>
      <c r="ES47" s="193"/>
      <c r="ET47" s="193"/>
      <c r="EU47" s="193"/>
    </row>
    <row r="48" spans="1:151" ht="12.9">
      <c r="A48" s="193"/>
      <c r="B48" s="193"/>
      <c r="C48" s="193"/>
      <c r="D48" s="193"/>
      <c r="E48" s="193"/>
      <c r="F48" s="193"/>
      <c r="G48" s="193"/>
      <c r="H48" s="193"/>
      <c r="I48" s="193"/>
      <c r="J48" s="193"/>
      <c r="K48" s="193"/>
      <c r="L48" s="193"/>
      <c r="M48" s="193"/>
      <c r="N48" s="193"/>
      <c r="O48" s="534" t="s">
        <v>456</v>
      </c>
      <c r="P48" s="193"/>
      <c r="Q48" s="193"/>
      <c r="R48" s="193"/>
      <c r="S48" s="616"/>
      <c r="T48" s="536"/>
      <c r="U48" s="193"/>
      <c r="V48" s="193"/>
      <c r="W48" s="193"/>
      <c r="X48" s="193"/>
      <c r="Y48" s="193"/>
      <c r="Z48" s="193"/>
      <c r="AA48" s="193"/>
      <c r="AB48" s="193"/>
      <c r="AC48" s="193"/>
      <c r="AD48" s="193"/>
      <c r="AE48" s="193"/>
      <c r="AF48" s="193"/>
      <c r="AG48" s="193"/>
      <c r="AH48" s="193"/>
      <c r="AI48" s="193"/>
      <c r="AJ48" s="193"/>
      <c r="AK48" s="193"/>
      <c r="AL48" s="193"/>
      <c r="AM48" s="193"/>
      <c r="AN48" s="193"/>
      <c r="AO48" s="193"/>
      <c r="AP48" s="193"/>
      <c r="AQ48" s="193"/>
      <c r="AR48" s="193"/>
      <c r="AS48" s="193"/>
      <c r="AT48" s="193"/>
      <c r="AU48" s="193"/>
      <c r="AV48" s="193"/>
      <c r="AW48" s="193"/>
      <c r="AX48" s="193"/>
      <c r="AY48" s="193"/>
      <c r="AZ48" s="193"/>
      <c r="BA48" s="193"/>
      <c r="BB48" s="193"/>
      <c r="BC48" s="193"/>
      <c r="BD48" s="193"/>
      <c r="BE48" s="193"/>
      <c r="BF48" s="193"/>
      <c r="BG48" s="193"/>
      <c r="BH48" s="193"/>
      <c r="BI48" s="193"/>
      <c r="BJ48" s="193"/>
      <c r="BK48" s="193"/>
      <c r="BL48" s="193"/>
      <c r="BM48" s="193"/>
      <c r="BN48" s="193"/>
      <c r="BO48" s="193"/>
      <c r="BP48" s="193"/>
      <c r="BQ48" s="193"/>
      <c r="BR48" s="193"/>
      <c r="BS48" s="193"/>
      <c r="BT48" s="193"/>
      <c r="BU48" s="193"/>
      <c r="BV48" s="193"/>
      <c r="BW48" s="193"/>
      <c r="BX48" s="193"/>
      <c r="BY48" s="193"/>
      <c r="BZ48" s="193"/>
      <c r="CA48" s="193"/>
      <c r="CB48" s="193"/>
      <c r="CC48" s="193"/>
      <c r="CD48" s="193"/>
      <c r="CE48" s="193"/>
      <c r="CF48" s="193"/>
      <c r="CG48" s="193"/>
      <c r="CH48" s="193"/>
      <c r="CI48" s="193"/>
      <c r="CJ48" s="193"/>
      <c r="CK48" s="193"/>
      <c r="CL48" s="193"/>
      <c r="CM48" s="193"/>
      <c r="CN48" s="193"/>
      <c r="CO48" s="193"/>
      <c r="CP48" s="193"/>
      <c r="CQ48" s="193"/>
      <c r="CR48" s="193"/>
      <c r="CS48" s="193"/>
      <c r="CT48" s="193"/>
      <c r="CU48" s="193"/>
      <c r="CV48" s="193"/>
      <c r="CW48" s="193"/>
      <c r="CX48" s="193"/>
      <c r="CY48" s="193"/>
      <c r="CZ48" s="193"/>
      <c r="DA48" s="193"/>
      <c r="DB48" s="193"/>
      <c r="DC48" s="193"/>
      <c r="DD48" s="193"/>
      <c r="DE48" s="193"/>
      <c r="DF48" s="193"/>
      <c r="DG48" s="193"/>
      <c r="DH48" s="193"/>
      <c r="DI48" s="193"/>
      <c r="DJ48" s="193"/>
      <c r="DK48" s="193"/>
      <c r="DL48" s="193"/>
      <c r="DM48" s="193"/>
      <c r="DN48" s="193"/>
      <c r="DO48" s="193"/>
      <c r="DP48" s="193" t="s">
        <v>135</v>
      </c>
      <c r="DQ48" s="536"/>
      <c r="DR48" s="193"/>
      <c r="DS48" s="193"/>
      <c r="DT48" s="193"/>
      <c r="DU48" s="193"/>
      <c r="DV48" s="193"/>
      <c r="DW48" s="193"/>
      <c r="DX48" s="193"/>
      <c r="DY48" s="193"/>
      <c r="DZ48" s="193"/>
      <c r="EA48" s="193"/>
      <c r="EB48" s="193"/>
      <c r="EC48" s="193"/>
      <c r="ED48" s="193"/>
      <c r="EE48" s="193"/>
      <c r="EF48" s="193"/>
      <c r="EG48" s="193"/>
      <c r="EH48" s="193"/>
      <c r="EI48" s="193"/>
      <c r="EJ48" s="193"/>
      <c r="EK48" s="193"/>
      <c r="EL48" s="193"/>
      <c r="EM48" s="193"/>
      <c r="EN48" s="193"/>
      <c r="EO48" s="193"/>
      <c r="EP48" s="193"/>
      <c r="EQ48" s="193"/>
      <c r="ER48" s="193"/>
      <c r="ES48" s="193"/>
      <c r="ET48" s="193"/>
      <c r="EU48" s="193"/>
    </row>
    <row r="49" spans="1:151" ht="12.9">
      <c r="A49" s="534"/>
      <c r="B49" s="193"/>
      <c r="C49" s="193"/>
      <c r="D49" s="193"/>
      <c r="E49" s="193"/>
      <c r="F49" s="193"/>
      <c r="G49" s="193"/>
      <c r="H49" s="193"/>
      <c r="I49" s="193"/>
      <c r="J49" s="193"/>
      <c r="K49" s="193"/>
      <c r="L49" s="193"/>
      <c r="M49" s="193"/>
      <c r="N49" s="193"/>
      <c r="O49" s="193"/>
      <c r="P49" s="193"/>
      <c r="Q49" s="193"/>
      <c r="R49" s="193"/>
      <c r="S49" s="193"/>
      <c r="T49" s="193"/>
      <c r="U49" s="193"/>
      <c r="V49" s="193"/>
      <c r="W49" s="193"/>
      <c r="X49" s="193"/>
      <c r="Y49" s="193"/>
      <c r="Z49" s="193"/>
      <c r="AA49" s="193"/>
      <c r="AB49" s="193"/>
      <c r="AC49" s="193"/>
      <c r="AD49" s="193"/>
      <c r="AE49" s="193"/>
      <c r="AF49" s="193"/>
      <c r="AG49" s="193"/>
      <c r="AH49" s="193"/>
      <c r="AI49" s="193"/>
      <c r="AJ49" s="193"/>
      <c r="AK49" s="193"/>
      <c r="AL49" s="193"/>
      <c r="AM49" s="193"/>
      <c r="AN49" s="193"/>
      <c r="AO49" s="193"/>
      <c r="AP49" s="193"/>
      <c r="AQ49" s="193"/>
      <c r="AR49" s="193"/>
      <c r="AS49" s="193"/>
      <c r="AT49" s="193"/>
      <c r="AU49" s="193"/>
      <c r="AV49" s="193"/>
      <c r="AW49" s="193"/>
      <c r="AX49" s="193"/>
      <c r="AY49" s="193"/>
      <c r="AZ49" s="193"/>
      <c r="BA49" s="193"/>
      <c r="BB49" s="193"/>
      <c r="BC49" s="193"/>
      <c r="BD49" s="193"/>
      <c r="BE49" s="193"/>
      <c r="BF49" s="193"/>
      <c r="BG49" s="193"/>
      <c r="BH49" s="193"/>
      <c r="BI49" s="193"/>
      <c r="BJ49" s="193"/>
      <c r="BK49" s="193"/>
      <c r="BL49" s="193"/>
      <c r="BM49" s="193"/>
      <c r="BN49" s="193"/>
      <c r="BO49" s="193"/>
      <c r="BP49" s="193"/>
      <c r="BQ49" s="193"/>
      <c r="BR49" s="193"/>
      <c r="BS49" s="193"/>
      <c r="BT49" s="193"/>
      <c r="BU49" s="193"/>
      <c r="BV49" s="193"/>
      <c r="BW49" s="193"/>
      <c r="BX49" s="193"/>
      <c r="BY49" s="193"/>
      <c r="BZ49" s="193"/>
      <c r="CA49" s="193"/>
      <c r="CB49" s="193"/>
      <c r="CC49" s="193"/>
      <c r="CD49" s="193"/>
      <c r="CE49" s="193"/>
      <c r="CF49" s="193"/>
      <c r="CG49" s="193"/>
      <c r="CH49" s="193"/>
      <c r="CI49" s="193"/>
      <c r="CJ49" s="193"/>
      <c r="CK49" s="193"/>
      <c r="CL49" s="193"/>
      <c r="CM49" s="193"/>
      <c r="CN49" s="193"/>
      <c r="CO49" s="193"/>
      <c r="CP49" s="193"/>
      <c r="CQ49" s="193"/>
      <c r="CR49" s="193"/>
      <c r="CS49" s="193"/>
      <c r="CT49" s="193"/>
      <c r="CU49" s="193"/>
      <c r="CV49" s="193"/>
      <c r="CW49" s="193"/>
      <c r="CX49" s="193"/>
      <c r="CY49" s="193"/>
      <c r="CZ49" s="193"/>
      <c r="DA49" s="193"/>
      <c r="DB49" s="193"/>
      <c r="DC49" s="193"/>
      <c r="DD49" s="193"/>
      <c r="DE49" s="193"/>
      <c r="DF49" s="193"/>
      <c r="DG49" s="193"/>
      <c r="DH49" s="193"/>
      <c r="DI49" s="193"/>
      <c r="DJ49" s="193"/>
      <c r="DK49" s="193"/>
      <c r="DL49" s="193"/>
      <c r="DM49" s="193"/>
      <c r="DN49" s="193"/>
      <c r="DO49" s="193"/>
      <c r="DP49" s="193"/>
      <c r="DQ49" s="536" t="s">
        <v>132</v>
      </c>
      <c r="DR49" s="193"/>
      <c r="DS49" s="239">
        <f>PAYROLL!I32</f>
        <v>3.5823999999999998</v>
      </c>
      <c r="DT49" s="193" t="s">
        <v>133</v>
      </c>
      <c r="DU49" s="193"/>
      <c r="DV49" s="240">
        <f>PAYROLL!J32</f>
        <v>2.9306000000000001</v>
      </c>
      <c r="DW49" s="193"/>
      <c r="DX49" s="193" t="s">
        <v>134</v>
      </c>
      <c r="DY49" s="193"/>
      <c r="DZ49" s="240">
        <f>PAYROLL!K32</f>
        <v>13.7582</v>
      </c>
      <c r="EA49" s="193"/>
      <c r="EB49" s="193"/>
      <c r="EC49" s="193"/>
      <c r="ED49" s="193"/>
      <c r="EE49" s="193"/>
      <c r="EF49" s="193"/>
      <c r="EG49" s="193"/>
      <c r="EH49" s="193"/>
      <c r="EI49" s="193"/>
      <c r="EJ49" s="193"/>
      <c r="EK49" s="193"/>
      <c r="EL49" s="193"/>
      <c r="EM49" s="193"/>
      <c r="EN49" s="193"/>
      <c r="EO49" s="193"/>
      <c r="EP49" s="193"/>
      <c r="EQ49" s="193"/>
      <c r="ER49" s="193"/>
      <c r="ES49" s="193"/>
      <c r="ET49" s="193"/>
      <c r="EU49" s="193"/>
    </row>
    <row r="50" spans="1:151" ht="12.9">
      <c r="A50" s="193"/>
      <c r="B50" s="193"/>
      <c r="C50" s="193"/>
      <c r="D50" s="193"/>
      <c r="E50" s="193"/>
      <c r="F50" s="193"/>
      <c r="G50" s="193"/>
      <c r="H50" s="193"/>
      <c r="I50" s="193"/>
      <c r="J50" s="193"/>
      <c r="K50" s="193"/>
      <c r="L50" s="193"/>
      <c r="M50" s="193"/>
      <c r="N50" s="193"/>
      <c r="O50" s="193"/>
      <c r="P50" s="193"/>
      <c r="Q50" s="193"/>
      <c r="R50" s="193"/>
      <c r="S50" s="193"/>
      <c r="T50" s="193"/>
      <c r="U50" s="193"/>
      <c r="V50" s="193"/>
      <c r="W50" s="193"/>
      <c r="X50" s="193"/>
      <c r="Y50" s="193"/>
      <c r="Z50" s="193"/>
      <c r="AA50" s="193"/>
      <c r="AB50" s="193"/>
      <c r="AC50" s="193"/>
      <c r="AD50" s="193"/>
      <c r="AE50" s="193"/>
      <c r="AF50" s="193"/>
      <c r="AG50" s="193"/>
      <c r="AH50" s="193"/>
      <c r="AI50" s="193"/>
      <c r="AJ50" s="193"/>
      <c r="AK50" s="193"/>
      <c r="AL50" s="193"/>
      <c r="AM50" s="193"/>
      <c r="AN50" s="193"/>
      <c r="AO50" s="193"/>
      <c r="AP50" s="193"/>
      <c r="AQ50" s="193"/>
      <c r="AR50" s="193"/>
      <c r="AS50" s="193"/>
      <c r="AT50" s="193"/>
      <c r="AU50" s="193"/>
      <c r="AV50" s="193"/>
      <c r="AW50" s="193"/>
      <c r="AX50" s="193"/>
      <c r="AY50" s="193"/>
      <c r="AZ50" s="193"/>
      <c r="BA50" s="193"/>
      <c r="BB50" s="193"/>
      <c r="BC50" s="193"/>
      <c r="BD50" s="193"/>
      <c r="BE50" s="193"/>
      <c r="BF50" s="193"/>
      <c r="BG50" s="193"/>
      <c r="BH50" s="193"/>
      <c r="BI50" s="193"/>
      <c r="BJ50" s="193"/>
      <c r="BK50" s="193"/>
      <c r="BL50" s="193"/>
      <c r="BM50" s="193"/>
      <c r="BN50" s="193"/>
      <c r="BO50" s="193"/>
      <c r="BP50" s="193"/>
      <c r="BQ50" s="193"/>
      <c r="BR50" s="193"/>
      <c r="BS50" s="193"/>
      <c r="BT50" s="193"/>
      <c r="BU50" s="193"/>
      <c r="BV50" s="193"/>
      <c r="BW50" s="193"/>
      <c r="BX50" s="193"/>
      <c r="BY50" s="193"/>
      <c r="BZ50" s="193"/>
      <c r="CA50" s="193"/>
      <c r="CB50" s="193"/>
      <c r="CC50" s="193"/>
      <c r="CD50" s="193"/>
      <c r="CE50" s="193"/>
      <c r="CF50" s="193"/>
      <c r="CG50" s="193"/>
      <c r="CH50" s="193"/>
      <c r="CI50" s="193"/>
      <c r="CJ50" s="193"/>
      <c r="CK50" s="193"/>
      <c r="CL50" s="193"/>
      <c r="CM50" s="193"/>
      <c r="CN50" s="193"/>
      <c r="CO50" s="193"/>
      <c r="CP50" s="193"/>
      <c r="CQ50" s="193"/>
      <c r="CR50" s="193"/>
      <c r="CS50" s="193"/>
      <c r="CT50" s="193"/>
      <c r="CU50" s="193"/>
      <c r="CV50" s="193"/>
      <c r="CW50" s="193"/>
      <c r="CX50" s="193"/>
      <c r="CY50" s="193"/>
      <c r="CZ50" s="193"/>
      <c r="DA50" s="193"/>
      <c r="DB50" s="193"/>
      <c r="DC50" s="193"/>
      <c r="DD50" s="193"/>
      <c r="DE50" s="193"/>
      <c r="DF50" s="193"/>
      <c r="DG50" s="193"/>
      <c r="DH50" s="193"/>
      <c r="DI50" s="193"/>
      <c r="DJ50" s="193"/>
      <c r="DK50" s="193"/>
      <c r="DL50" s="193"/>
      <c r="DM50" s="193"/>
      <c r="DN50" s="193"/>
      <c r="DO50" s="193"/>
      <c r="DP50" s="193"/>
      <c r="DQ50" s="536"/>
      <c r="DR50" s="193"/>
      <c r="DS50" s="241"/>
      <c r="DT50" s="193"/>
      <c r="DU50" s="193"/>
      <c r="DV50" s="242"/>
      <c r="DW50" s="193"/>
      <c r="DX50" s="193"/>
      <c r="DY50" s="193"/>
      <c r="DZ50" s="242"/>
      <c r="EA50" s="193"/>
      <c r="EB50" s="193"/>
      <c r="EC50" s="193"/>
      <c r="ED50" s="193"/>
      <c r="EE50" s="193"/>
      <c r="EF50" s="193"/>
      <c r="EG50" s="536"/>
      <c r="EH50" s="193"/>
      <c r="EI50" s="193"/>
      <c r="EJ50" s="193"/>
      <c r="EK50" s="193"/>
      <c r="EL50" s="193"/>
      <c r="EM50" s="193"/>
      <c r="EN50" s="193"/>
      <c r="EO50" s="193"/>
      <c r="EP50" s="193"/>
      <c r="EQ50" s="193"/>
      <c r="ER50" s="193"/>
      <c r="ES50" s="193"/>
      <c r="ET50" s="193"/>
      <c r="EU50" s="193"/>
    </row>
    <row r="51" spans="1:151" ht="12.9">
      <c r="A51" s="193"/>
      <c r="B51" s="193"/>
      <c r="C51" s="193"/>
      <c r="D51" s="193"/>
      <c r="E51" s="193"/>
      <c r="F51" s="193"/>
      <c r="G51" s="193"/>
      <c r="H51" s="193"/>
      <c r="I51" s="193"/>
      <c r="J51" s="193"/>
      <c r="K51" s="193"/>
      <c r="L51" s="193"/>
      <c r="M51" s="193"/>
      <c r="N51" s="193"/>
      <c r="O51" s="193"/>
      <c r="P51" s="193"/>
      <c r="Q51" s="193"/>
      <c r="R51" s="193"/>
      <c r="S51" s="193"/>
      <c r="T51" s="193"/>
      <c r="U51" s="193"/>
      <c r="V51" s="193"/>
      <c r="W51" s="193"/>
      <c r="X51" s="193"/>
      <c r="Y51" s="193"/>
      <c r="Z51" s="193"/>
      <c r="AA51" s="193"/>
      <c r="AB51" s="193"/>
      <c r="AC51" s="193"/>
      <c r="AD51" s="193"/>
      <c r="AE51" s="193"/>
      <c r="AF51" s="193"/>
      <c r="AG51" s="193"/>
      <c r="AH51" s="193"/>
      <c r="AI51" s="193"/>
      <c r="AJ51" s="193"/>
      <c r="AK51" s="193"/>
      <c r="AL51" s="193"/>
      <c r="AM51" s="193"/>
      <c r="AN51" s="193"/>
      <c r="AO51" s="193"/>
      <c r="AP51" s="193"/>
      <c r="AQ51" s="193"/>
      <c r="AR51" s="193"/>
      <c r="AS51" s="193"/>
      <c r="AT51" s="193"/>
      <c r="AU51" s="193"/>
      <c r="AV51" s="193"/>
      <c r="AW51" s="193"/>
      <c r="AX51" s="193"/>
      <c r="AY51" s="193"/>
      <c r="AZ51" s="193"/>
      <c r="BA51" s="193"/>
      <c r="BB51" s="193"/>
      <c r="BC51" s="193"/>
      <c r="BD51" s="193"/>
      <c r="BE51" s="193"/>
      <c r="BF51" s="193"/>
      <c r="BG51" s="193"/>
      <c r="BH51" s="193"/>
      <c r="BI51" s="193"/>
      <c r="BJ51" s="193"/>
      <c r="BK51" s="193"/>
      <c r="BL51" s="193"/>
      <c r="BM51" s="193"/>
      <c r="BN51" s="193"/>
      <c r="BO51" s="193"/>
      <c r="BP51" s="193"/>
      <c r="BQ51" s="193"/>
      <c r="BR51" s="193"/>
      <c r="BS51" s="193"/>
      <c r="BT51" s="193"/>
      <c r="BU51" s="193"/>
      <c r="BV51" s="193"/>
      <c r="BW51" s="193"/>
      <c r="BX51" s="193"/>
      <c r="BY51" s="193"/>
      <c r="BZ51" s="193"/>
      <c r="CA51" s="193"/>
      <c r="CB51" s="193"/>
      <c r="CC51" s="193"/>
      <c r="CD51" s="193"/>
      <c r="CE51" s="193"/>
      <c r="CF51" s="193"/>
      <c r="CG51" s="193"/>
      <c r="CH51" s="193"/>
      <c r="CI51" s="193"/>
      <c r="CJ51" s="193"/>
      <c r="CK51" s="193"/>
      <c r="CL51" s="193"/>
      <c r="CM51" s="193"/>
      <c r="CN51" s="193"/>
      <c r="CO51" s="193"/>
      <c r="CP51" s="193"/>
      <c r="CQ51" s="193"/>
      <c r="CR51" s="193"/>
      <c r="CS51" s="193"/>
      <c r="CT51" s="193"/>
      <c r="CU51" s="193"/>
      <c r="CV51" s="193"/>
      <c r="CW51" s="193"/>
      <c r="CX51" s="193"/>
      <c r="CY51" s="193"/>
      <c r="CZ51" s="193"/>
      <c r="DA51" s="193"/>
      <c r="DB51" s="193"/>
      <c r="DC51" s="193"/>
      <c r="DD51" s="193"/>
      <c r="DE51" s="193"/>
      <c r="DF51" s="193"/>
      <c r="DG51" s="193"/>
      <c r="DH51" s="193"/>
      <c r="DI51" s="193"/>
      <c r="DJ51" s="193"/>
      <c r="DK51" s="193"/>
      <c r="DL51" s="193"/>
      <c r="DM51" s="193"/>
      <c r="DN51" s="193"/>
      <c r="DO51" s="193"/>
      <c r="DP51" s="193"/>
      <c r="DQ51" s="536"/>
      <c r="DR51" s="193"/>
      <c r="DS51" s="241"/>
      <c r="DT51" s="193"/>
      <c r="DU51" s="193"/>
      <c r="DV51" s="242"/>
      <c r="DW51" s="193"/>
      <c r="DX51" s="193"/>
      <c r="DY51" s="193"/>
      <c r="DZ51" s="242"/>
      <c r="EA51" s="193"/>
      <c r="EB51" s="193"/>
      <c r="EC51" s="193"/>
      <c r="ED51" s="193"/>
      <c r="EE51" s="193"/>
      <c r="EF51" s="193"/>
      <c r="EG51" s="536"/>
      <c r="EH51" s="536"/>
      <c r="EI51" s="193"/>
      <c r="EJ51" s="193"/>
      <c r="EK51" s="193"/>
      <c r="EL51" s="193"/>
      <c r="EM51" s="193"/>
      <c r="EN51" s="193"/>
      <c r="EO51" s="193"/>
      <c r="EP51" s="193"/>
      <c r="EQ51" s="193"/>
      <c r="ER51" s="193"/>
      <c r="ES51" s="193"/>
      <c r="ET51" s="193"/>
      <c r="EU51" s="193"/>
    </row>
    <row r="52" spans="1:151" ht="12.9">
      <c r="A52" s="193"/>
      <c r="B52" s="193"/>
      <c r="C52" s="193"/>
      <c r="D52" s="193"/>
      <c r="E52" s="193"/>
      <c r="F52" s="193"/>
      <c r="G52" s="193"/>
      <c r="H52" s="193"/>
      <c r="I52" s="193"/>
      <c r="J52" s="193"/>
      <c r="K52" s="193"/>
      <c r="L52" s="193"/>
      <c r="M52" s="193"/>
      <c r="N52" s="193"/>
      <c r="O52" s="193"/>
      <c r="P52" s="193"/>
      <c r="Q52" s="193"/>
      <c r="R52" s="193"/>
      <c r="S52" s="193"/>
      <c r="T52" s="193"/>
      <c r="U52" s="193"/>
      <c r="V52" s="193"/>
      <c r="W52" s="193"/>
      <c r="X52" s="193"/>
      <c r="Y52" s="193"/>
      <c r="Z52" s="193"/>
      <c r="AA52" s="193"/>
      <c r="AB52" s="193"/>
      <c r="AC52" s="193"/>
      <c r="AD52" s="193"/>
      <c r="AE52" s="193"/>
      <c r="AF52" s="193"/>
      <c r="AG52" s="193"/>
      <c r="AH52" s="193"/>
      <c r="AI52" s="193"/>
      <c r="AJ52" s="193"/>
      <c r="AK52" s="193"/>
      <c r="AL52" s="193"/>
      <c r="AM52" s="193"/>
      <c r="AN52" s="193"/>
      <c r="AO52" s="193"/>
      <c r="AP52" s="193"/>
      <c r="AQ52" s="193"/>
      <c r="AR52" s="193"/>
      <c r="AS52" s="193"/>
      <c r="AT52" s="193"/>
      <c r="AU52" s="193"/>
      <c r="AV52" s="193"/>
      <c r="AW52" s="193"/>
      <c r="AX52" s="193"/>
      <c r="AY52" s="193"/>
      <c r="AZ52" s="193"/>
      <c r="BA52" s="193"/>
      <c r="BB52" s="193"/>
      <c r="BC52" s="193"/>
      <c r="BD52" s="193"/>
      <c r="BE52" s="193"/>
      <c r="BF52" s="193"/>
      <c r="BG52" s="193"/>
      <c r="BH52" s="193"/>
      <c r="BI52" s="193"/>
      <c r="BJ52" s="193"/>
      <c r="BK52" s="193"/>
      <c r="BL52" s="193"/>
      <c r="BM52" s="193"/>
      <c r="BN52" s="193"/>
      <c r="BO52" s="193"/>
      <c r="BP52" s="193"/>
      <c r="BQ52" s="193"/>
      <c r="BR52" s="193"/>
      <c r="BS52" s="193"/>
      <c r="BT52" s="193"/>
      <c r="BU52" s="193"/>
      <c r="BV52" s="193"/>
      <c r="BW52" s="193"/>
      <c r="BX52" s="193"/>
      <c r="BY52" s="193"/>
      <c r="BZ52" s="193"/>
      <c r="CA52" s="193"/>
      <c r="CB52" s="193"/>
      <c r="CC52" s="193"/>
      <c r="CD52" s="193"/>
      <c r="CE52" s="193"/>
      <c r="CF52" s="193"/>
      <c r="CG52" s="193"/>
      <c r="CH52" s="193"/>
      <c r="CI52" s="193"/>
      <c r="CJ52" s="193"/>
      <c r="CK52" s="193"/>
      <c r="CL52" s="193"/>
      <c r="CM52" s="193"/>
      <c r="CN52" s="193"/>
      <c r="CO52" s="193"/>
      <c r="CP52" s="193"/>
      <c r="CQ52" s="193"/>
      <c r="CR52" s="193"/>
      <c r="CS52" s="193"/>
      <c r="CT52" s="193"/>
      <c r="CU52" s="193"/>
      <c r="CV52" s="193"/>
      <c r="CW52" s="193"/>
      <c r="CX52" s="193"/>
      <c r="CY52" s="193"/>
      <c r="CZ52" s="193"/>
      <c r="DA52" s="193"/>
      <c r="DB52" s="193"/>
      <c r="DC52" s="193"/>
      <c r="DD52" s="193"/>
      <c r="DE52" s="193"/>
      <c r="DF52" s="193"/>
      <c r="DG52" s="193"/>
      <c r="DH52" s="193"/>
      <c r="DI52" s="193"/>
      <c r="DJ52" s="193"/>
      <c r="DK52" s="193"/>
      <c r="DL52" s="193"/>
      <c r="DM52" s="193"/>
      <c r="DN52" s="193"/>
      <c r="DO52" s="193"/>
      <c r="DP52" s="193" t="s">
        <v>136</v>
      </c>
      <c r="DQ52" s="536"/>
      <c r="DR52" s="193"/>
      <c r="DS52" s="241"/>
      <c r="DT52" s="193"/>
      <c r="DU52" s="193"/>
      <c r="DV52" s="243">
        <f>'Credibility-1'!C114</f>
        <v>0</v>
      </c>
      <c r="DW52" s="193"/>
      <c r="DX52" s="193"/>
      <c r="DY52" s="193"/>
      <c r="DZ52" s="242"/>
      <c r="EA52" s="193"/>
      <c r="EB52" s="193"/>
      <c r="EC52" s="193"/>
      <c r="ED52" s="193"/>
      <c r="EE52" s="193"/>
      <c r="EF52" s="193"/>
      <c r="EG52" s="193"/>
      <c r="EH52" s="193"/>
      <c r="EI52" s="193"/>
      <c r="EJ52" s="193"/>
      <c r="EK52" s="193"/>
      <c r="EL52" s="193"/>
      <c r="EM52" s="193"/>
      <c r="EN52" s="193"/>
      <c r="EO52" s="193"/>
      <c r="EP52" s="193"/>
      <c r="EQ52" s="193"/>
      <c r="ER52" s="193"/>
      <c r="ES52" s="193"/>
      <c r="ET52" s="193"/>
      <c r="EU52" s="193"/>
    </row>
    <row r="53" spans="1:151" ht="12.9">
      <c r="A53" s="193"/>
      <c r="B53" s="193"/>
      <c r="C53" s="193"/>
      <c r="D53" s="193"/>
      <c r="E53" s="193"/>
      <c r="F53" s="193"/>
      <c r="G53" s="193"/>
      <c r="H53" s="193"/>
      <c r="I53" s="193"/>
      <c r="J53" s="193"/>
      <c r="K53" s="193"/>
      <c r="L53" s="193"/>
      <c r="M53" s="193"/>
      <c r="N53" s="193"/>
      <c r="O53" s="193"/>
      <c r="P53" s="193"/>
      <c r="Q53" s="193"/>
      <c r="R53" s="193"/>
      <c r="S53" s="193"/>
      <c r="T53" s="193"/>
      <c r="U53" s="193"/>
      <c r="V53" s="193"/>
      <c r="W53" s="193"/>
      <c r="X53" s="193"/>
      <c r="Y53" s="193"/>
      <c r="Z53" s="193"/>
      <c r="AA53" s="193"/>
      <c r="AB53" s="193"/>
      <c r="AC53" s="193"/>
      <c r="AD53" s="193"/>
      <c r="AE53" s="193"/>
      <c r="AF53" s="193"/>
      <c r="AG53" s="193"/>
      <c r="AH53" s="193"/>
      <c r="AI53" s="193"/>
      <c r="AJ53" s="193"/>
      <c r="AK53" s="193"/>
      <c r="AL53" s="193"/>
      <c r="AM53" s="193"/>
      <c r="AN53" s="193"/>
      <c r="AO53" s="193"/>
      <c r="AP53" s="193"/>
      <c r="AQ53" s="193"/>
      <c r="AR53" s="193"/>
      <c r="AS53" s="193"/>
      <c r="AT53" s="193"/>
      <c r="AU53" s="193"/>
      <c r="AV53" s="193"/>
      <c r="AW53" s="193"/>
      <c r="AX53" s="193"/>
      <c r="AY53" s="193"/>
      <c r="AZ53" s="193"/>
      <c r="BA53" s="193"/>
      <c r="BB53" s="193"/>
      <c r="BC53" s="193"/>
      <c r="BD53" s="193"/>
      <c r="BE53" s="193"/>
      <c r="BF53" s="193"/>
      <c r="BG53" s="193"/>
      <c r="BH53" s="193"/>
      <c r="BI53" s="193"/>
      <c r="BJ53" s="193"/>
      <c r="BK53" s="193"/>
      <c r="BL53" s="193"/>
      <c r="BM53" s="193"/>
      <c r="BN53" s="193"/>
      <c r="BO53" s="193"/>
      <c r="BP53" s="193"/>
      <c r="BQ53" s="193"/>
      <c r="BR53" s="193"/>
      <c r="BS53" s="193"/>
      <c r="BT53" s="193"/>
      <c r="BU53" s="193"/>
      <c r="BV53" s="193"/>
      <c r="BW53" s="193"/>
      <c r="BX53" s="193"/>
      <c r="BY53" s="193"/>
      <c r="BZ53" s="193"/>
      <c r="CA53" s="193"/>
      <c r="CB53" s="193"/>
      <c r="CC53" s="193"/>
      <c r="CD53" s="193"/>
      <c r="CE53" s="193"/>
      <c r="CF53" s="193"/>
      <c r="CG53" s="193"/>
      <c r="CH53" s="193"/>
      <c r="CI53" s="193"/>
      <c r="CJ53" s="193"/>
      <c r="CK53" s="193"/>
      <c r="CL53" s="193"/>
      <c r="CM53" s="193"/>
      <c r="CN53" s="193"/>
      <c r="CO53" s="193"/>
      <c r="CP53" s="193"/>
      <c r="CQ53" s="193"/>
      <c r="CR53" s="193"/>
      <c r="CS53" s="193"/>
      <c r="CT53" s="193"/>
      <c r="CU53" s="193"/>
      <c r="CV53" s="193"/>
      <c r="CW53" s="193"/>
      <c r="CX53" s="193"/>
      <c r="CY53" s="193"/>
      <c r="CZ53" s="193"/>
      <c r="DA53" s="193"/>
      <c r="DB53" s="193"/>
      <c r="DC53" s="193"/>
      <c r="DD53" s="193"/>
      <c r="DE53" s="193"/>
      <c r="DF53" s="193"/>
      <c r="DG53" s="193"/>
      <c r="DH53" s="193"/>
      <c r="DI53" s="193"/>
      <c r="DJ53" s="193"/>
      <c r="DK53" s="193"/>
      <c r="DL53" s="193"/>
      <c r="DM53" s="193"/>
      <c r="DN53" s="193"/>
      <c r="DO53" s="193"/>
      <c r="DP53" s="193" t="s">
        <v>137</v>
      </c>
      <c r="DQ53" s="536"/>
      <c r="DR53" s="193"/>
      <c r="DS53" s="241"/>
      <c r="DT53" s="534" t="s">
        <v>529</v>
      </c>
      <c r="DU53" s="193"/>
      <c r="DV53" s="242"/>
      <c r="DW53" s="193"/>
      <c r="DX53" s="193"/>
      <c r="DY53" s="193"/>
      <c r="DZ53" s="242"/>
      <c r="EA53" s="193"/>
      <c r="EB53" s="193"/>
      <c r="EC53" s="193"/>
      <c r="ED53" s="193"/>
      <c r="EE53" s="193"/>
      <c r="EF53" s="193"/>
      <c r="EG53" s="193"/>
      <c r="EH53" s="193"/>
      <c r="EI53" s="193"/>
      <c r="EJ53" s="193"/>
      <c r="EK53" s="193"/>
      <c r="EL53" s="193"/>
      <c r="EM53" s="193"/>
      <c r="EN53" s="193"/>
      <c r="EO53" s="193"/>
      <c r="EP53" s="193"/>
      <c r="EQ53" s="193"/>
      <c r="ER53" s="193"/>
      <c r="ES53" s="193"/>
      <c r="ET53" s="193"/>
      <c r="EU53" s="193"/>
    </row>
    <row r="54" spans="1:151" ht="12.9">
      <c r="A54" s="193"/>
      <c r="B54" s="193"/>
      <c r="C54" s="193"/>
      <c r="D54" s="193"/>
      <c r="E54" s="193"/>
      <c r="F54" s="193"/>
      <c r="G54" s="193"/>
      <c r="H54" s="193"/>
      <c r="I54" s="193"/>
      <c r="J54" s="193"/>
      <c r="K54" s="193"/>
      <c r="L54" s="193"/>
      <c r="M54" s="193"/>
      <c r="N54" s="193"/>
      <c r="O54" s="193"/>
      <c r="P54" s="193"/>
      <c r="Q54" s="193"/>
      <c r="R54" s="193"/>
      <c r="S54" s="193"/>
      <c r="T54" s="193"/>
      <c r="U54" s="193"/>
      <c r="V54" s="193"/>
      <c r="W54" s="193"/>
      <c r="X54" s="193"/>
      <c r="Y54" s="193"/>
      <c r="Z54" s="193"/>
      <c r="AA54" s="193"/>
      <c r="AB54" s="193"/>
      <c r="AC54" s="193"/>
      <c r="AD54" s="193"/>
      <c r="AE54" s="193"/>
      <c r="AF54" s="193"/>
      <c r="AG54" s="193"/>
      <c r="AH54" s="193"/>
      <c r="AI54" s="193"/>
      <c r="AJ54" s="193"/>
      <c r="AK54" s="193"/>
      <c r="AL54" s="193"/>
      <c r="AM54" s="193"/>
      <c r="AN54" s="193"/>
      <c r="AO54" s="193"/>
      <c r="AP54" s="193"/>
      <c r="AQ54" s="193"/>
      <c r="AR54" s="193"/>
      <c r="AS54" s="193"/>
      <c r="AT54" s="193"/>
      <c r="AU54" s="193"/>
      <c r="AV54" s="193"/>
      <c r="AW54" s="193"/>
      <c r="AX54" s="193"/>
      <c r="AY54" s="193"/>
      <c r="AZ54" s="193"/>
      <c r="BA54" s="193"/>
      <c r="BB54" s="193"/>
      <c r="BC54" s="193"/>
      <c r="BD54" s="193"/>
      <c r="BE54" s="193"/>
      <c r="BF54" s="193"/>
      <c r="BG54" s="193"/>
      <c r="BH54" s="193"/>
      <c r="BI54" s="193"/>
      <c r="BJ54" s="193"/>
      <c r="BK54" s="193"/>
      <c r="BL54" s="193"/>
      <c r="BM54" s="193"/>
      <c r="BN54" s="193"/>
      <c r="BO54" s="193"/>
      <c r="BP54" s="193"/>
      <c r="BQ54" s="193"/>
      <c r="BR54" s="193"/>
      <c r="BS54" s="193"/>
      <c r="BT54" s="193"/>
      <c r="BU54" s="193"/>
      <c r="BV54" s="193"/>
      <c r="BW54" s="193"/>
      <c r="BX54" s="193"/>
      <c r="BY54" s="193"/>
      <c r="BZ54" s="193"/>
      <c r="CA54" s="193"/>
      <c r="CB54" s="193"/>
      <c r="CC54" s="193"/>
      <c r="CD54" s="193"/>
      <c r="CE54" s="193"/>
      <c r="CF54" s="193"/>
      <c r="CG54" s="193"/>
      <c r="CH54" s="193"/>
      <c r="CI54" s="193"/>
      <c r="CJ54" s="193"/>
      <c r="CK54" s="193"/>
      <c r="CL54" s="193"/>
      <c r="CM54" s="193"/>
      <c r="CN54" s="193"/>
      <c r="CO54" s="193"/>
      <c r="CP54" s="193"/>
      <c r="CQ54" s="193"/>
      <c r="CR54" s="193"/>
      <c r="CS54" s="193"/>
      <c r="CT54" s="193"/>
      <c r="CU54" s="193"/>
      <c r="CV54" s="193"/>
      <c r="CW54" s="193"/>
      <c r="CX54" s="193"/>
      <c r="CY54" s="193"/>
      <c r="CZ54" s="193"/>
      <c r="DA54" s="193"/>
      <c r="DB54" s="193"/>
      <c r="DC54" s="193"/>
      <c r="DD54" s="193"/>
      <c r="DE54" s="193"/>
      <c r="DF54" s="193"/>
      <c r="DG54" s="193"/>
      <c r="DH54" s="193"/>
      <c r="DI54" s="193"/>
      <c r="DJ54" s="193"/>
      <c r="DK54" s="193"/>
      <c r="DL54" s="193"/>
      <c r="DM54" s="193"/>
      <c r="DN54" s="193"/>
      <c r="DO54" s="193"/>
      <c r="DP54" s="193"/>
      <c r="DQ54" s="536"/>
      <c r="DR54" s="193"/>
      <c r="DS54" s="241"/>
      <c r="DT54" s="534"/>
      <c r="DU54" s="193"/>
      <c r="DV54" s="242"/>
      <c r="DW54" s="193"/>
      <c r="DX54" s="193"/>
      <c r="DY54" s="193"/>
      <c r="DZ54" s="242"/>
      <c r="EA54" s="193"/>
      <c r="EB54" s="193"/>
      <c r="EC54" s="193"/>
      <c r="ED54" s="193"/>
      <c r="EE54" s="193"/>
      <c r="EF54" s="193"/>
      <c r="EG54" s="536"/>
      <c r="EH54" s="193"/>
      <c r="EI54" s="193"/>
      <c r="EJ54" s="193"/>
      <c r="EK54" s="193"/>
      <c r="EL54" s="193"/>
      <c r="EM54" s="193"/>
      <c r="EN54" s="193"/>
      <c r="EO54" s="193"/>
      <c r="EP54" s="193"/>
      <c r="EQ54" s="193"/>
      <c r="ER54" s="193"/>
      <c r="ES54" s="193"/>
      <c r="ET54" s="193"/>
      <c r="EU54" s="193"/>
    </row>
    <row r="55" spans="1:151" ht="12.9">
      <c r="A55" s="193"/>
      <c r="B55" s="193"/>
      <c r="C55" s="193"/>
      <c r="D55" s="591"/>
      <c r="E55" s="193"/>
      <c r="F55" s="193"/>
      <c r="G55" s="193"/>
      <c r="H55" s="193"/>
      <c r="I55" s="193"/>
      <c r="J55" s="193"/>
      <c r="K55" s="193"/>
      <c r="L55" s="193"/>
      <c r="M55" s="193"/>
      <c r="N55" s="193"/>
      <c r="O55" s="193"/>
      <c r="P55" s="193"/>
      <c r="Q55" s="193"/>
      <c r="R55" s="193"/>
      <c r="S55" s="193"/>
      <c r="T55" s="193"/>
      <c r="U55" s="193"/>
      <c r="V55" s="193"/>
      <c r="W55" s="193"/>
      <c r="X55" s="193"/>
      <c r="Y55" s="193"/>
      <c r="Z55" s="193"/>
      <c r="AA55" s="193"/>
      <c r="AB55" s="193"/>
      <c r="AC55" s="193"/>
      <c r="AD55" s="193"/>
      <c r="AE55" s="193"/>
      <c r="AF55" s="193"/>
      <c r="AG55" s="193"/>
      <c r="AH55" s="193"/>
      <c r="AI55" s="193"/>
      <c r="AJ55" s="193"/>
      <c r="AK55" s="193"/>
      <c r="AL55" s="193"/>
      <c r="AM55" s="193"/>
      <c r="AN55" s="193"/>
      <c r="AO55" s="193"/>
      <c r="AP55" s="193"/>
      <c r="AQ55" s="193"/>
      <c r="AR55" s="193"/>
      <c r="AS55" s="193"/>
      <c r="AT55" s="193"/>
      <c r="AU55" s="193"/>
      <c r="AV55" s="193"/>
      <c r="AW55" s="193"/>
      <c r="AX55" s="193"/>
      <c r="AY55" s="193"/>
      <c r="AZ55" s="193"/>
      <c r="BA55" s="193"/>
      <c r="BB55" s="193"/>
      <c r="BC55" s="193"/>
      <c r="BD55" s="193"/>
      <c r="BE55" s="193"/>
      <c r="BF55" s="193"/>
      <c r="BG55" s="193"/>
      <c r="BH55" s="193"/>
      <c r="BI55" s="193"/>
      <c r="BJ55" s="193"/>
      <c r="BK55" s="193"/>
      <c r="BL55" s="193"/>
      <c r="BM55" s="193"/>
      <c r="BN55" s="193"/>
      <c r="BO55" s="193"/>
      <c r="BP55" s="193"/>
      <c r="BQ55" s="193"/>
      <c r="BR55" s="193"/>
      <c r="BS55" s="193"/>
      <c r="BT55" s="193"/>
      <c r="BU55" s="193"/>
      <c r="BV55" s="193"/>
      <c r="BW55" s="193"/>
      <c r="BX55" s="193"/>
      <c r="BY55" s="193"/>
      <c r="BZ55" s="193"/>
      <c r="CA55" s="193"/>
      <c r="CB55" s="193"/>
      <c r="CC55" s="193"/>
      <c r="CD55" s="193"/>
      <c r="CE55" s="193"/>
      <c r="CF55" s="193"/>
      <c r="CG55" s="193"/>
      <c r="CH55" s="193"/>
      <c r="CI55" s="193"/>
      <c r="CJ55" s="193"/>
      <c r="CK55" s="193"/>
      <c r="CL55" s="193"/>
      <c r="CM55" s="193"/>
      <c r="CN55" s="193"/>
      <c r="CO55" s="193"/>
      <c r="CP55" s="193"/>
      <c r="CQ55" s="193"/>
      <c r="CR55" s="193"/>
      <c r="CS55" s="193"/>
      <c r="CT55" s="193"/>
      <c r="CU55" s="193"/>
      <c r="CV55" s="193"/>
      <c r="CW55" s="193"/>
      <c r="CX55" s="193"/>
      <c r="CY55" s="193"/>
      <c r="CZ55" s="193"/>
      <c r="DA55" s="193"/>
      <c r="DB55" s="193"/>
      <c r="DC55" s="193"/>
      <c r="DD55" s="193"/>
      <c r="DE55" s="193"/>
      <c r="DF55" s="193"/>
      <c r="DG55" s="193"/>
      <c r="DH55" s="193"/>
      <c r="DI55" s="193"/>
      <c r="DJ55" s="193"/>
      <c r="DK55" s="193"/>
      <c r="DL55" s="193"/>
      <c r="DM55" s="193"/>
      <c r="DN55" s="193"/>
      <c r="DO55" s="193"/>
      <c r="DP55" s="534" t="s">
        <v>138</v>
      </c>
      <c r="DQ55" s="536"/>
      <c r="DR55" s="193"/>
      <c r="DS55" s="241"/>
      <c r="DT55" s="10">
        <v>375</v>
      </c>
      <c r="DU55" s="193"/>
      <c r="DV55" s="242"/>
      <c r="DW55" s="193"/>
      <c r="DX55" s="193"/>
      <c r="DY55" s="193"/>
      <c r="DZ55" s="242"/>
      <c r="EA55" s="193"/>
      <c r="EB55" s="193"/>
      <c r="EC55" s="193"/>
      <c r="ED55" s="193"/>
      <c r="EE55" s="193"/>
      <c r="EF55" s="193"/>
      <c r="EG55" s="193"/>
      <c r="EH55" s="193"/>
      <c r="EI55" s="193"/>
      <c r="EJ55" s="193"/>
      <c r="EK55" s="193"/>
      <c r="EL55" s="193"/>
      <c r="EM55" s="193"/>
      <c r="EN55" s="193"/>
      <c r="EO55" s="193"/>
      <c r="EP55" s="193"/>
      <c r="EQ55" s="193"/>
      <c r="ER55" s="193"/>
      <c r="ES55" s="193"/>
      <c r="ET55" s="193"/>
      <c r="EU55" s="193"/>
    </row>
    <row r="56" spans="1:151" ht="12.9">
      <c r="A56" s="534"/>
      <c r="B56" s="193"/>
      <c r="C56" s="625"/>
      <c r="D56" s="625"/>
      <c r="E56" s="536"/>
      <c r="F56" s="625"/>
      <c r="G56" s="193"/>
      <c r="H56" s="193"/>
      <c r="I56" s="193"/>
      <c r="J56" s="193"/>
      <c r="K56" s="193"/>
      <c r="L56" s="193"/>
      <c r="M56" s="193"/>
      <c r="N56" s="193"/>
      <c r="O56" s="193"/>
      <c r="P56" s="193"/>
      <c r="Q56" s="193"/>
      <c r="R56" s="193"/>
      <c r="S56" s="193"/>
      <c r="T56" s="193"/>
      <c r="U56" s="193"/>
      <c r="V56" s="193"/>
      <c r="W56" s="193"/>
      <c r="X56" s="193"/>
      <c r="Y56" s="193"/>
      <c r="Z56" s="193"/>
      <c r="AA56" s="193"/>
      <c r="AB56" s="193"/>
      <c r="AC56" s="193"/>
      <c r="AD56" s="193"/>
      <c r="AE56" s="193"/>
      <c r="AF56" s="193"/>
      <c r="AG56" s="193"/>
      <c r="AH56" s="193"/>
      <c r="AI56" s="193"/>
      <c r="AJ56" s="193"/>
      <c r="AK56" s="193"/>
      <c r="AL56" s="193"/>
      <c r="AM56" s="193"/>
      <c r="AN56" s="193"/>
      <c r="AO56" s="193"/>
      <c r="AP56" s="193"/>
      <c r="AQ56" s="193"/>
      <c r="AR56" s="193"/>
      <c r="AS56" s="193"/>
      <c r="AT56" s="193"/>
      <c r="AU56" s="193"/>
      <c r="AV56" s="193"/>
      <c r="AW56" s="193"/>
      <c r="AX56" s="193"/>
      <c r="AY56" s="193"/>
      <c r="AZ56" s="193"/>
      <c r="BA56" s="193"/>
      <c r="BB56" s="193"/>
      <c r="BC56" s="193"/>
      <c r="BD56" s="193"/>
      <c r="BE56" s="193"/>
      <c r="BF56" s="193"/>
      <c r="BG56" s="193"/>
      <c r="BH56" s="193"/>
      <c r="BI56" s="193"/>
      <c r="BJ56" s="193"/>
      <c r="BK56" s="193"/>
      <c r="BL56" s="193"/>
      <c r="BM56" s="193"/>
      <c r="BN56" s="193"/>
      <c r="BO56" s="193"/>
      <c r="BP56" s="193"/>
      <c r="BQ56" s="193"/>
      <c r="BR56" s="193"/>
      <c r="BS56" s="193"/>
      <c r="BT56" s="193"/>
      <c r="BU56" s="193"/>
      <c r="BV56" s="193"/>
      <c r="BW56" s="193"/>
      <c r="BX56" s="193"/>
      <c r="BY56" s="193"/>
      <c r="BZ56" s="193"/>
      <c r="CA56" s="193"/>
      <c r="CB56" s="193"/>
      <c r="CC56" s="193"/>
      <c r="CD56" s="193"/>
      <c r="CE56" s="193"/>
      <c r="CF56" s="193"/>
      <c r="CG56" s="193"/>
      <c r="CH56" s="193"/>
      <c r="CI56" s="193"/>
      <c r="CJ56" s="193"/>
      <c r="CK56" s="193"/>
      <c r="CL56" s="193"/>
      <c r="CM56" s="193"/>
      <c r="CN56" s="193"/>
      <c r="CO56" s="193"/>
      <c r="CP56" s="193"/>
      <c r="CQ56" s="193"/>
      <c r="CR56" s="193"/>
      <c r="CS56" s="193"/>
      <c r="CT56" s="193"/>
      <c r="CU56" s="193"/>
      <c r="CV56" s="193"/>
      <c r="CW56" s="193"/>
      <c r="CX56" s="193"/>
      <c r="CY56" s="193"/>
      <c r="CZ56" s="193"/>
      <c r="DA56" s="193"/>
      <c r="DB56" s="193"/>
      <c r="DC56" s="193"/>
      <c r="DD56" s="193"/>
      <c r="DE56" s="193"/>
      <c r="DF56" s="193"/>
      <c r="DG56" s="193"/>
      <c r="DH56" s="193"/>
      <c r="DI56" s="193"/>
      <c r="DJ56" s="193"/>
      <c r="DK56" s="193"/>
      <c r="DL56" s="193"/>
      <c r="DM56" s="193"/>
      <c r="DN56" s="193"/>
      <c r="DO56" s="193"/>
      <c r="DP56" s="193"/>
      <c r="DQ56" s="193"/>
      <c r="DR56" s="193"/>
      <c r="DS56" s="534"/>
      <c r="DT56" s="193"/>
      <c r="DU56" s="193"/>
      <c r="DV56" s="193"/>
      <c r="DW56" s="193"/>
      <c r="DX56" s="193"/>
      <c r="DY56" s="193"/>
      <c r="DZ56" s="193"/>
      <c r="EA56" s="193"/>
      <c r="EB56" s="193"/>
      <c r="EC56" s="193"/>
      <c r="ED56" s="193"/>
      <c r="EE56" s="193"/>
      <c r="EF56" s="193"/>
      <c r="EG56" s="193"/>
      <c r="EH56" s="193"/>
      <c r="EI56" s="193"/>
      <c r="EJ56" s="193"/>
      <c r="EK56" s="193"/>
      <c r="EL56" s="193"/>
      <c r="EM56" s="193"/>
      <c r="EN56" s="193"/>
      <c r="EO56" s="193"/>
      <c r="EP56" s="193"/>
      <c r="EQ56" s="193"/>
      <c r="ER56" s="193"/>
      <c r="ES56" s="193"/>
      <c r="ET56" s="193"/>
      <c r="EU56" s="193"/>
    </row>
    <row r="57" spans="1:151" ht="12.9">
      <c r="A57" s="536"/>
      <c r="B57" s="193"/>
      <c r="C57" s="625"/>
      <c r="D57" s="625"/>
      <c r="E57" s="536"/>
      <c r="F57" s="625"/>
      <c r="G57" s="193"/>
      <c r="H57" s="193"/>
      <c r="I57" s="193"/>
      <c r="J57" s="193"/>
      <c r="K57" s="193"/>
      <c r="L57" s="193"/>
      <c r="M57" s="193"/>
      <c r="N57" s="193"/>
      <c r="O57" s="193"/>
      <c r="P57" s="193"/>
      <c r="Q57" s="193"/>
      <c r="R57" s="193"/>
      <c r="S57" s="193"/>
      <c r="T57" s="193"/>
      <c r="U57" s="193"/>
      <c r="V57" s="193"/>
      <c r="W57" s="193"/>
      <c r="X57" s="193"/>
      <c r="Y57" s="193"/>
      <c r="Z57" s="193"/>
      <c r="AA57" s="193"/>
      <c r="AB57" s="193"/>
      <c r="AC57" s="193"/>
      <c r="AD57" s="193"/>
      <c r="AE57" s="193"/>
      <c r="AF57" s="193"/>
      <c r="AG57" s="193"/>
      <c r="AH57" s="193"/>
      <c r="AI57" s="193"/>
      <c r="AJ57" s="193"/>
      <c r="AK57" s="193"/>
      <c r="AL57" s="193"/>
      <c r="AM57" s="193"/>
      <c r="AN57" s="193"/>
      <c r="AO57" s="193"/>
      <c r="AP57" s="193"/>
      <c r="AQ57" s="193"/>
      <c r="AR57" s="193"/>
      <c r="AS57" s="193"/>
      <c r="AT57" s="193"/>
      <c r="AU57" s="193"/>
      <c r="AV57" s="193"/>
      <c r="AW57" s="193"/>
      <c r="AX57" s="193"/>
      <c r="AY57" s="193"/>
      <c r="AZ57" s="193"/>
      <c r="BA57" s="193"/>
      <c r="BB57" s="193"/>
      <c r="BC57" s="193"/>
      <c r="BD57" s="193"/>
      <c r="BE57" s="193"/>
      <c r="BF57" s="193"/>
      <c r="BG57" s="193"/>
      <c r="BH57" s="193"/>
      <c r="BI57" s="193"/>
      <c r="BJ57" s="193"/>
      <c r="BK57" s="193"/>
      <c r="BL57" s="193"/>
      <c r="BM57" s="193"/>
      <c r="BN57" s="193"/>
      <c r="BO57" s="193"/>
      <c r="BP57" s="193"/>
      <c r="BQ57" s="193"/>
      <c r="BR57" s="193"/>
      <c r="BS57" s="193"/>
      <c r="BT57" s="193"/>
      <c r="BU57" s="193"/>
      <c r="BV57" s="193"/>
      <c r="BW57" s="193"/>
      <c r="BX57" s="193"/>
      <c r="BY57" s="193"/>
      <c r="BZ57" s="193"/>
      <c r="CA57" s="193"/>
      <c r="CB57" s="193"/>
      <c r="CC57" s="193"/>
      <c r="CD57" s="193"/>
      <c r="CE57" s="193"/>
      <c r="CF57" s="193"/>
      <c r="CG57" s="193"/>
      <c r="CH57" s="193"/>
      <c r="CI57" s="193"/>
      <c r="CJ57" s="193"/>
      <c r="CK57" s="193"/>
      <c r="CL57" s="193"/>
      <c r="CM57" s="193"/>
      <c r="CN57" s="193"/>
      <c r="CO57" s="193"/>
      <c r="CP57" s="193"/>
      <c r="CQ57" s="193"/>
      <c r="CR57" s="193"/>
      <c r="CS57" s="193"/>
      <c r="CT57" s="193"/>
      <c r="CU57" s="193"/>
      <c r="CV57" s="193"/>
      <c r="CW57" s="193"/>
      <c r="CX57" s="193"/>
      <c r="CY57" s="193"/>
      <c r="CZ57" s="193"/>
      <c r="DA57" s="193"/>
      <c r="DB57" s="193"/>
      <c r="DC57" s="193"/>
      <c r="DD57" s="193"/>
      <c r="DE57" s="193"/>
      <c r="DF57" s="193"/>
      <c r="DG57" s="193"/>
      <c r="DH57" s="193"/>
      <c r="DI57" s="193"/>
      <c r="DJ57" s="193"/>
      <c r="DK57" s="193"/>
      <c r="DL57" s="193"/>
      <c r="DM57" s="193"/>
      <c r="DN57" s="193"/>
      <c r="DO57" s="193"/>
      <c r="DP57" s="193" t="s">
        <v>141</v>
      </c>
      <c r="DQ57" s="193"/>
      <c r="DR57" s="193"/>
      <c r="DS57" s="193"/>
      <c r="DT57" s="10">
        <v>3000</v>
      </c>
      <c r="DU57" s="193"/>
      <c r="DV57" s="193"/>
      <c r="DW57" s="193"/>
      <c r="DX57" s="193"/>
      <c r="DY57" s="193"/>
      <c r="DZ57" s="193"/>
      <c r="EA57" s="193"/>
      <c r="EB57" s="193"/>
      <c r="EC57" s="193"/>
      <c r="ED57" s="193"/>
      <c r="EE57" s="193"/>
      <c r="EF57" s="193"/>
      <c r="EG57" s="536"/>
      <c r="EH57" s="193"/>
      <c r="EI57" s="193"/>
      <c r="EJ57" s="193"/>
      <c r="EK57" s="193"/>
      <c r="EL57" s="193"/>
      <c r="EM57" s="193"/>
      <c r="EN57" s="193"/>
      <c r="EO57" s="193"/>
      <c r="EP57" s="193"/>
      <c r="EQ57" s="193"/>
      <c r="ER57" s="193"/>
      <c r="ES57" s="193"/>
      <c r="ET57" s="193"/>
      <c r="EU57" s="193"/>
    </row>
    <row r="58" spans="1:151" ht="12.9">
      <c r="A58" s="534"/>
      <c r="B58" s="193"/>
      <c r="C58" s="625"/>
      <c r="D58" s="625"/>
      <c r="E58" s="536"/>
      <c r="F58" s="625"/>
      <c r="G58" s="193"/>
      <c r="H58" s="193"/>
      <c r="I58" s="193"/>
      <c r="J58" s="193"/>
      <c r="K58" s="193"/>
      <c r="L58" s="193"/>
      <c r="M58" s="193"/>
      <c r="N58" s="193"/>
      <c r="O58" s="193"/>
      <c r="P58" s="193"/>
      <c r="Q58" s="193"/>
      <c r="R58" s="193"/>
      <c r="S58" s="193"/>
      <c r="T58" s="193"/>
      <c r="U58" s="193"/>
      <c r="V58" s="193"/>
      <c r="W58" s="193"/>
      <c r="X58" s="193"/>
      <c r="Y58" s="193"/>
      <c r="Z58" s="193"/>
      <c r="AA58" s="193"/>
      <c r="AB58" s="193"/>
      <c r="AC58" s="193"/>
      <c r="AD58" s="193"/>
      <c r="AE58" s="193"/>
      <c r="AF58" s="193"/>
      <c r="AG58" s="193"/>
      <c r="AH58" s="193"/>
      <c r="AI58" s="193"/>
      <c r="AJ58" s="193"/>
      <c r="AK58" s="193"/>
      <c r="AL58" s="193"/>
      <c r="AM58" s="193"/>
      <c r="AN58" s="193"/>
      <c r="AO58" s="193"/>
      <c r="AP58" s="193"/>
      <c r="AQ58" s="193"/>
      <c r="AR58" s="193"/>
      <c r="AS58" s="193"/>
      <c r="AT58" s="193"/>
      <c r="AU58" s="193"/>
      <c r="AV58" s="193"/>
      <c r="AW58" s="193"/>
      <c r="AX58" s="193"/>
      <c r="AY58" s="193"/>
      <c r="AZ58" s="193"/>
      <c r="BA58" s="193"/>
      <c r="BB58" s="193"/>
      <c r="BC58" s="193"/>
      <c r="BD58" s="193"/>
      <c r="BE58" s="193"/>
      <c r="BF58" s="193"/>
      <c r="BG58" s="193"/>
      <c r="BH58" s="193"/>
      <c r="BI58" s="193"/>
      <c r="BJ58" s="193"/>
      <c r="BK58" s="193"/>
      <c r="BL58" s="193"/>
      <c r="BM58" s="193"/>
      <c r="BN58" s="193"/>
      <c r="BO58" s="193"/>
      <c r="BP58" s="193"/>
      <c r="BQ58" s="193"/>
      <c r="BR58" s="193"/>
      <c r="BS58" s="193"/>
      <c r="BT58" s="193"/>
      <c r="BU58" s="193"/>
      <c r="BV58" s="193"/>
      <c r="BW58" s="193"/>
      <c r="BX58" s="193"/>
      <c r="BY58" s="193"/>
      <c r="BZ58" s="193"/>
      <c r="CA58" s="193"/>
      <c r="CB58" s="193"/>
      <c r="CC58" s="193"/>
      <c r="CD58" s="193"/>
      <c r="CE58" s="193"/>
      <c r="CF58" s="193"/>
      <c r="CG58" s="193"/>
      <c r="CH58" s="193"/>
      <c r="CI58" s="193"/>
      <c r="CJ58" s="193"/>
      <c r="CK58" s="193"/>
      <c r="CL58" s="193"/>
      <c r="CM58" s="193"/>
      <c r="CN58" s="193"/>
      <c r="CO58" s="193"/>
      <c r="CP58" s="193"/>
      <c r="CQ58" s="193"/>
      <c r="CR58" s="193"/>
      <c r="CS58" s="193"/>
      <c r="CT58" s="193"/>
      <c r="CU58" s="193"/>
      <c r="CV58" s="193"/>
      <c r="CW58" s="193"/>
      <c r="CX58" s="193"/>
      <c r="CY58" s="193"/>
      <c r="CZ58" s="193"/>
      <c r="DA58" s="193"/>
      <c r="DB58" s="193"/>
      <c r="DC58" s="193"/>
      <c r="DD58" s="193"/>
      <c r="DE58" s="193"/>
      <c r="DF58" s="193"/>
      <c r="DG58" s="193"/>
      <c r="DH58" s="193"/>
      <c r="DI58" s="193"/>
      <c r="DJ58" s="193"/>
      <c r="DK58" s="193"/>
      <c r="DL58" s="193"/>
      <c r="DM58" s="193"/>
      <c r="DN58" s="193"/>
      <c r="DO58" s="193"/>
      <c r="DP58" s="193"/>
      <c r="DQ58" s="193"/>
      <c r="DR58" s="193"/>
      <c r="DS58" s="193"/>
      <c r="DT58" s="682"/>
      <c r="DU58" s="193"/>
      <c r="DV58" s="193"/>
      <c r="DW58" s="193"/>
      <c r="DX58" s="193"/>
      <c r="DY58" s="193"/>
      <c r="DZ58" s="193"/>
      <c r="EA58" s="193"/>
      <c r="EB58" s="193"/>
      <c r="EC58" s="193"/>
      <c r="ED58" s="193"/>
      <c r="EE58" s="193"/>
      <c r="EF58" s="193"/>
      <c r="EG58" s="536"/>
      <c r="EH58" s="193"/>
      <c r="EI58" s="193"/>
      <c r="EJ58" s="193"/>
      <c r="EK58" s="193"/>
      <c r="EL58" s="193"/>
      <c r="EM58" s="193"/>
      <c r="EN58" s="193"/>
      <c r="EO58" s="193"/>
      <c r="EP58" s="193"/>
      <c r="EQ58" s="193"/>
      <c r="ER58" s="193"/>
      <c r="ES58" s="193"/>
      <c r="ET58" s="193"/>
      <c r="EU58" s="193"/>
    </row>
    <row r="59" spans="1:151" ht="12.9">
      <c r="A59" s="193"/>
      <c r="B59" s="193"/>
      <c r="C59" s="193"/>
      <c r="D59" s="193"/>
      <c r="E59" s="193"/>
      <c r="F59" s="193"/>
      <c r="G59" s="193"/>
      <c r="H59" s="193"/>
      <c r="I59" s="193"/>
      <c r="J59" s="193"/>
      <c r="K59" s="193"/>
      <c r="L59" s="193"/>
      <c r="M59" s="193"/>
      <c r="N59" s="193"/>
      <c r="O59" s="193"/>
      <c r="P59" s="193"/>
      <c r="Q59" s="193"/>
      <c r="R59" s="193"/>
      <c r="S59" s="193"/>
      <c r="T59" s="193"/>
      <c r="U59" s="193"/>
      <c r="V59" s="193"/>
      <c r="W59" s="193"/>
      <c r="X59" s="193"/>
      <c r="Y59" s="193"/>
      <c r="Z59" s="193"/>
      <c r="AA59" s="193"/>
      <c r="AB59" s="193"/>
      <c r="AC59" s="193"/>
      <c r="AD59" s="193"/>
      <c r="AE59" s="193"/>
      <c r="AF59" s="193"/>
      <c r="AG59" s="193"/>
      <c r="AH59" s="193"/>
      <c r="AI59" s="193"/>
      <c r="AJ59" s="193"/>
      <c r="AK59" s="193"/>
      <c r="AL59" s="193"/>
      <c r="AM59" s="193"/>
      <c r="AN59" s="193"/>
      <c r="AO59" s="193"/>
      <c r="AP59" s="193"/>
      <c r="AQ59" s="193"/>
      <c r="AR59" s="193"/>
      <c r="AS59" s="193"/>
      <c r="AT59" s="193"/>
      <c r="AU59" s="193"/>
      <c r="AV59" s="193"/>
      <c r="AW59" s="193"/>
      <c r="AX59" s="193"/>
      <c r="AY59" s="193"/>
      <c r="AZ59" s="193"/>
      <c r="BA59" s="193"/>
      <c r="BB59" s="193"/>
      <c r="BC59" s="193"/>
      <c r="BD59" s="193"/>
      <c r="BE59" s="193"/>
      <c r="BF59" s="193"/>
      <c r="BG59" s="193"/>
      <c r="BH59" s="193"/>
      <c r="BI59" s="193"/>
      <c r="BJ59" s="193"/>
      <c r="BK59" s="193"/>
      <c r="BL59" s="193"/>
      <c r="BM59" s="193"/>
      <c r="BN59" s="193"/>
      <c r="BO59" s="193"/>
      <c r="BP59" s="193"/>
      <c r="BQ59" s="193"/>
      <c r="BR59" s="193"/>
      <c r="BS59" s="193"/>
      <c r="BT59" s="193"/>
      <c r="BU59" s="193"/>
      <c r="BV59" s="193"/>
      <c r="BW59" s="193"/>
      <c r="BX59" s="193"/>
      <c r="BY59" s="193"/>
      <c r="BZ59" s="193"/>
      <c r="CA59" s="193"/>
      <c r="CB59" s="193"/>
      <c r="CC59" s="193"/>
      <c r="CD59" s="193"/>
      <c r="CE59" s="193"/>
      <c r="CF59" s="193"/>
      <c r="CG59" s="193"/>
      <c r="CH59" s="193"/>
      <c r="CI59" s="193"/>
      <c r="CJ59" s="193"/>
      <c r="CK59" s="193"/>
      <c r="CL59" s="193"/>
      <c r="CM59" s="193"/>
      <c r="CN59" s="193"/>
      <c r="CO59" s="193"/>
      <c r="CP59" s="193"/>
      <c r="CQ59" s="193"/>
      <c r="CR59" s="193"/>
      <c r="CS59" s="193"/>
      <c r="CT59" s="193"/>
      <c r="CU59" s="193"/>
      <c r="CV59" s="193"/>
      <c r="CW59" s="193"/>
      <c r="CX59" s="193"/>
      <c r="CY59" s="193"/>
      <c r="CZ59" s="193"/>
      <c r="DA59" s="193"/>
      <c r="DB59" s="193"/>
      <c r="DC59" s="193"/>
      <c r="DD59" s="193"/>
      <c r="DE59" s="193"/>
      <c r="DF59" s="193"/>
      <c r="DG59" s="193"/>
      <c r="DH59" s="193"/>
      <c r="DI59" s="193"/>
      <c r="DJ59" s="193"/>
      <c r="DK59" s="193"/>
      <c r="DL59" s="193"/>
      <c r="DM59" s="193"/>
      <c r="DN59" s="193"/>
      <c r="DO59" s="193"/>
      <c r="DP59" s="193"/>
      <c r="DQ59" s="193"/>
      <c r="DR59" s="536"/>
      <c r="DS59" s="193"/>
      <c r="DT59" s="535"/>
      <c r="DU59" s="193"/>
      <c r="DV59" s="680"/>
      <c r="DW59" s="193"/>
      <c r="DX59" s="536"/>
      <c r="DY59" s="193"/>
      <c r="DZ59" s="193"/>
      <c r="EA59" s="193"/>
      <c r="EB59" s="193"/>
      <c r="EC59" s="193"/>
      <c r="ED59" s="193"/>
      <c r="EE59" s="193"/>
      <c r="EF59" s="193"/>
      <c r="EG59" s="536"/>
      <c r="EH59" s="193"/>
      <c r="EI59" s="193"/>
      <c r="EJ59" s="193"/>
      <c r="EK59" s="536"/>
      <c r="EL59" s="193"/>
      <c r="EM59" s="193"/>
      <c r="EN59" s="193"/>
      <c r="EO59" s="193"/>
      <c r="EP59" s="193"/>
      <c r="EQ59" s="193"/>
      <c r="ER59" s="193"/>
      <c r="ES59" s="193"/>
      <c r="ET59" s="193"/>
      <c r="EU59" s="193"/>
    </row>
    <row r="60" spans="1:151" ht="12.9">
      <c r="A60" s="193"/>
      <c r="B60" s="193"/>
      <c r="C60" s="193"/>
      <c r="D60" s="193"/>
      <c r="E60" s="193"/>
      <c r="F60" s="193"/>
      <c r="G60" s="193"/>
      <c r="H60" s="193"/>
      <c r="I60" s="193"/>
      <c r="J60" s="193"/>
      <c r="K60" s="193"/>
      <c r="L60" s="193"/>
      <c r="M60" s="193"/>
      <c r="N60" s="193"/>
      <c r="O60" s="193"/>
      <c r="P60" s="193"/>
      <c r="Q60" s="193"/>
      <c r="R60" s="193"/>
      <c r="S60" s="193"/>
      <c r="T60" s="193"/>
      <c r="U60" s="193"/>
      <c r="V60" s="193"/>
      <c r="W60" s="193"/>
      <c r="X60" s="193"/>
      <c r="Y60" s="193"/>
      <c r="Z60" s="193"/>
      <c r="AA60" s="193"/>
      <c r="AB60" s="193"/>
      <c r="AC60" s="193"/>
      <c r="AD60" s="193"/>
      <c r="AE60" s="193"/>
      <c r="AF60" s="193"/>
      <c r="AG60" s="193"/>
      <c r="AH60" s="193"/>
      <c r="AI60" s="193"/>
      <c r="AJ60" s="193"/>
      <c r="AK60" s="193"/>
      <c r="AL60" s="193"/>
      <c r="AM60" s="193"/>
      <c r="AN60" s="193"/>
      <c r="AO60" s="193"/>
      <c r="AP60" s="193"/>
      <c r="AQ60" s="193"/>
      <c r="AR60" s="193"/>
      <c r="AS60" s="193"/>
      <c r="AT60" s="193"/>
      <c r="AU60" s="193"/>
      <c r="AV60" s="193"/>
      <c r="AW60" s="193"/>
      <c r="AX60" s="193"/>
      <c r="AY60" s="193"/>
      <c r="AZ60" s="193"/>
      <c r="BA60" s="193"/>
      <c r="BB60" s="193"/>
      <c r="BC60" s="193"/>
      <c r="BD60" s="193"/>
      <c r="BE60" s="193"/>
      <c r="BF60" s="193"/>
      <c r="BG60" s="193"/>
      <c r="BH60" s="193"/>
      <c r="BI60" s="193"/>
      <c r="BJ60" s="193"/>
      <c r="BK60" s="193"/>
      <c r="BL60" s="193"/>
      <c r="BM60" s="193"/>
      <c r="BN60" s="193"/>
      <c r="BO60" s="193"/>
      <c r="BP60" s="193"/>
      <c r="BQ60" s="193"/>
      <c r="BR60" s="193"/>
      <c r="BS60" s="193"/>
      <c r="BT60" s="193"/>
      <c r="BU60" s="193"/>
      <c r="BV60" s="193"/>
      <c r="BW60" s="193"/>
      <c r="BX60" s="193"/>
      <c r="BY60" s="193"/>
      <c r="BZ60" s="193"/>
      <c r="CA60" s="193"/>
      <c r="CB60" s="193"/>
      <c r="CC60" s="193"/>
      <c r="CD60" s="193"/>
      <c r="CE60" s="193"/>
      <c r="CF60" s="193"/>
      <c r="CG60" s="193"/>
      <c r="CH60" s="193"/>
      <c r="CI60" s="193"/>
      <c r="CJ60" s="193"/>
      <c r="CK60" s="193"/>
      <c r="CL60" s="193"/>
      <c r="CM60" s="193"/>
      <c r="CN60" s="193"/>
      <c r="CO60" s="193"/>
      <c r="CP60" s="193"/>
      <c r="CQ60" s="193"/>
      <c r="CR60" s="193"/>
      <c r="CS60" s="193"/>
      <c r="CT60" s="193"/>
      <c r="CU60" s="193"/>
      <c r="CV60" s="193"/>
      <c r="CW60" s="193"/>
      <c r="CX60" s="193"/>
      <c r="CY60" s="193"/>
      <c r="CZ60" s="193"/>
      <c r="DA60" s="193"/>
      <c r="DB60" s="193"/>
      <c r="DC60" s="193"/>
      <c r="DD60" s="193"/>
      <c r="DE60" s="193"/>
      <c r="DF60" s="193"/>
      <c r="DG60" s="193"/>
      <c r="DH60" s="193"/>
      <c r="DI60" s="193"/>
      <c r="DJ60" s="193"/>
      <c r="DK60" s="193"/>
      <c r="DL60" s="193"/>
      <c r="DM60" s="193"/>
      <c r="DN60" s="193"/>
      <c r="DO60" s="193"/>
      <c r="DP60" s="193"/>
      <c r="DQ60" s="193"/>
      <c r="DR60" s="193"/>
      <c r="DS60" s="193"/>
      <c r="DT60" s="193"/>
      <c r="DU60" s="193"/>
      <c r="DV60" s="193"/>
      <c r="DW60" s="193"/>
      <c r="DX60" s="193"/>
      <c r="DY60" s="193"/>
      <c r="DZ60" s="193"/>
      <c r="EA60" s="193"/>
      <c r="EB60" s="193"/>
      <c r="EC60" s="193"/>
      <c r="ED60" s="193"/>
      <c r="EE60" s="193"/>
      <c r="EF60" s="193"/>
      <c r="EG60" s="193"/>
      <c r="EH60" s="193"/>
      <c r="EI60" s="193"/>
      <c r="EJ60" s="193"/>
      <c r="EK60" s="536"/>
      <c r="EL60" s="193"/>
      <c r="EM60" s="193"/>
      <c r="EN60" s="193"/>
      <c r="EO60" s="193"/>
      <c r="EP60" s="193"/>
      <c r="EQ60" s="193"/>
      <c r="ER60" s="193"/>
      <c r="ES60" s="193"/>
      <c r="ET60" s="193"/>
      <c r="EU60" s="193"/>
    </row>
    <row r="61" spans="1:151" ht="12.9">
      <c r="A61" s="193"/>
      <c r="B61" s="193"/>
      <c r="C61" s="193"/>
      <c r="D61" s="193"/>
      <c r="E61" s="193"/>
      <c r="F61" s="193"/>
      <c r="G61" s="193"/>
      <c r="H61" s="193"/>
      <c r="I61" s="193"/>
      <c r="J61" s="193"/>
      <c r="K61" s="193"/>
      <c r="L61" s="193"/>
      <c r="M61" s="193"/>
      <c r="N61" s="193"/>
      <c r="O61" s="193"/>
      <c r="P61" s="193"/>
      <c r="Q61" s="193"/>
      <c r="R61" s="193"/>
      <c r="S61" s="193"/>
      <c r="T61" s="193"/>
      <c r="U61" s="193"/>
      <c r="V61" s="193"/>
      <c r="W61" s="193"/>
      <c r="X61" s="193"/>
      <c r="Y61" s="193"/>
      <c r="Z61" s="193"/>
      <c r="AA61" s="193"/>
      <c r="AB61" s="193"/>
      <c r="AC61" s="193"/>
      <c r="AD61" s="193"/>
      <c r="AE61" s="193"/>
      <c r="AF61" s="193"/>
      <c r="AG61" s="193"/>
      <c r="AH61" s="193"/>
      <c r="AI61" s="193"/>
      <c r="AJ61" s="193"/>
      <c r="AK61" s="193"/>
      <c r="AL61" s="193"/>
      <c r="AM61" s="193"/>
      <c r="AN61" s="193"/>
      <c r="AO61" s="193"/>
      <c r="AP61" s="193"/>
      <c r="AQ61" s="193"/>
      <c r="AR61" s="193"/>
      <c r="AS61" s="193"/>
      <c r="AT61" s="193"/>
      <c r="AU61" s="193"/>
      <c r="AV61" s="193"/>
      <c r="AW61" s="193"/>
      <c r="AX61" s="193"/>
      <c r="AY61" s="193"/>
      <c r="AZ61" s="193"/>
      <c r="BA61" s="193"/>
      <c r="BB61" s="193"/>
      <c r="BC61" s="193"/>
      <c r="BD61" s="193"/>
      <c r="BE61" s="193"/>
      <c r="BF61" s="193"/>
      <c r="BG61" s="193"/>
      <c r="BH61" s="193"/>
      <c r="BI61" s="193"/>
      <c r="BJ61" s="193"/>
      <c r="BK61" s="193"/>
      <c r="BL61" s="193"/>
      <c r="BM61" s="193"/>
      <c r="BN61" s="193"/>
      <c r="BO61" s="193"/>
      <c r="BP61" s="193"/>
      <c r="BQ61" s="193"/>
      <c r="BR61" s="193"/>
      <c r="BS61" s="193"/>
      <c r="BT61" s="193"/>
      <c r="BU61" s="193"/>
      <c r="BV61" s="193"/>
      <c r="BW61" s="193"/>
      <c r="BX61" s="193"/>
      <c r="BY61" s="193"/>
      <c r="BZ61" s="193"/>
      <c r="CA61" s="193"/>
      <c r="CB61" s="193"/>
      <c r="CC61" s="193"/>
      <c r="CD61" s="193"/>
      <c r="CE61" s="193"/>
      <c r="CF61" s="193"/>
      <c r="CG61" s="193"/>
      <c r="CH61" s="193"/>
      <c r="CI61" s="193"/>
      <c r="CJ61" s="193"/>
      <c r="CK61" s="193"/>
      <c r="CL61" s="193"/>
      <c r="CM61" s="193"/>
      <c r="CN61" s="193"/>
      <c r="CO61" s="193"/>
      <c r="CP61" s="193"/>
      <c r="CQ61" s="193"/>
      <c r="CR61" s="193"/>
      <c r="CS61" s="193"/>
      <c r="CT61" s="193"/>
      <c r="CU61" s="193"/>
      <c r="CV61" s="193"/>
      <c r="CW61" s="193"/>
      <c r="CX61" s="193"/>
      <c r="CY61" s="193"/>
      <c r="CZ61" s="193"/>
      <c r="DA61" s="193"/>
      <c r="DB61" s="193"/>
      <c r="DC61" s="193"/>
      <c r="DD61" s="193"/>
      <c r="DE61" s="193"/>
      <c r="DF61" s="193"/>
      <c r="DG61" s="193"/>
      <c r="DH61" s="193"/>
      <c r="DI61" s="193"/>
      <c r="DJ61" s="193"/>
      <c r="DK61" s="193"/>
      <c r="DL61" s="193"/>
      <c r="DM61" s="193"/>
      <c r="DN61" s="193"/>
      <c r="DO61" s="193"/>
      <c r="DP61" s="193"/>
      <c r="DQ61" s="193"/>
      <c r="DR61" s="193"/>
      <c r="DS61" s="193"/>
      <c r="DT61" s="193"/>
      <c r="DU61" s="193"/>
      <c r="DV61" s="193"/>
      <c r="DW61" s="193"/>
      <c r="DX61" s="193"/>
      <c r="DY61" s="193"/>
      <c r="DZ61" s="193"/>
      <c r="EA61" s="193"/>
      <c r="EB61" s="193"/>
      <c r="EC61" s="193"/>
      <c r="ED61" s="193"/>
      <c r="EE61" s="193"/>
      <c r="EF61" s="193"/>
      <c r="EG61" s="193"/>
      <c r="EH61" s="193"/>
      <c r="EI61" s="193"/>
      <c r="EJ61" s="193"/>
      <c r="EK61" s="536"/>
      <c r="EL61" s="193"/>
      <c r="EM61" s="193"/>
      <c r="EN61" s="193"/>
      <c r="EO61" s="193"/>
      <c r="EP61" s="193"/>
      <c r="EQ61" s="193"/>
      <c r="ER61" s="193"/>
      <c r="ES61" s="193"/>
      <c r="ET61" s="193"/>
      <c r="EU61" s="193"/>
    </row>
    <row r="62" spans="1:151" ht="12.9">
      <c r="A62" s="193"/>
      <c r="B62" s="193"/>
      <c r="C62" s="193"/>
      <c r="D62" s="193"/>
      <c r="E62" s="193"/>
      <c r="F62" s="193"/>
      <c r="G62" s="193"/>
      <c r="H62" s="193"/>
      <c r="I62" s="193"/>
      <c r="J62" s="193"/>
      <c r="K62" s="193"/>
      <c r="L62" s="193"/>
      <c r="M62" s="193"/>
      <c r="N62" s="193"/>
      <c r="O62" s="193"/>
      <c r="P62" s="193"/>
      <c r="Q62" s="193"/>
      <c r="R62" s="193"/>
      <c r="S62" s="193"/>
      <c r="T62" s="193"/>
      <c r="U62" s="193"/>
      <c r="V62" s="193"/>
      <c r="W62" s="193"/>
      <c r="X62" s="193"/>
      <c r="Y62" s="193"/>
      <c r="Z62" s="193"/>
      <c r="AA62" s="193"/>
      <c r="AB62" s="193"/>
      <c r="AC62" s="193"/>
      <c r="AD62" s="193"/>
      <c r="AE62" s="193"/>
      <c r="AF62" s="193"/>
      <c r="AG62" s="193"/>
      <c r="AH62" s="193"/>
      <c r="AI62" s="193"/>
      <c r="AJ62" s="193"/>
      <c r="AK62" s="193"/>
      <c r="AL62" s="193"/>
      <c r="AM62" s="193"/>
      <c r="AN62" s="193"/>
      <c r="AO62" s="193"/>
      <c r="AP62" s="193"/>
      <c r="AQ62" s="193"/>
      <c r="AR62" s="193"/>
      <c r="AS62" s="193"/>
      <c r="AT62" s="193"/>
      <c r="AU62" s="193"/>
      <c r="AV62" s="193"/>
      <c r="AW62" s="193"/>
      <c r="AX62" s="193"/>
      <c r="AY62" s="193"/>
      <c r="AZ62" s="193"/>
      <c r="BA62" s="193"/>
      <c r="BB62" s="193"/>
      <c r="BC62" s="193"/>
      <c r="BD62" s="193"/>
      <c r="BE62" s="193"/>
      <c r="BF62" s="193"/>
      <c r="BG62" s="193"/>
      <c r="BH62" s="193"/>
      <c r="BI62" s="193"/>
      <c r="BJ62" s="193"/>
      <c r="BK62" s="193"/>
      <c r="BL62" s="193"/>
      <c r="BM62" s="193"/>
      <c r="BN62" s="193"/>
      <c r="BO62" s="193"/>
      <c r="BP62" s="193"/>
      <c r="BQ62" s="193"/>
      <c r="BR62" s="193"/>
      <c r="BS62" s="193"/>
      <c r="BT62" s="193"/>
      <c r="BU62" s="193"/>
      <c r="BV62" s="193"/>
      <c r="BW62" s="193"/>
      <c r="BX62" s="193"/>
      <c r="BY62" s="193"/>
      <c r="BZ62" s="193"/>
      <c r="CA62" s="193"/>
      <c r="CB62" s="193"/>
      <c r="CC62" s="193"/>
      <c r="CD62" s="193"/>
      <c r="CE62" s="193"/>
      <c r="CF62" s="193"/>
      <c r="CG62" s="193"/>
      <c r="CH62" s="193"/>
      <c r="CI62" s="193"/>
      <c r="CJ62" s="193"/>
      <c r="CK62" s="193"/>
      <c r="CL62" s="193"/>
      <c r="CM62" s="193"/>
      <c r="CN62" s="193"/>
      <c r="CO62" s="193"/>
      <c r="CP62" s="193"/>
      <c r="CQ62" s="193"/>
      <c r="CR62" s="193"/>
      <c r="CS62" s="193"/>
      <c r="CT62" s="193"/>
      <c r="CU62" s="193"/>
      <c r="CV62" s="193"/>
      <c r="CW62" s="193"/>
      <c r="CX62" s="193"/>
      <c r="CY62" s="193"/>
      <c r="CZ62" s="193"/>
      <c r="DA62" s="193"/>
      <c r="DB62" s="193"/>
      <c r="DC62" s="193"/>
      <c r="DD62" s="193"/>
      <c r="DE62" s="193"/>
      <c r="DF62" s="193"/>
      <c r="DG62" s="193"/>
      <c r="DH62" s="193"/>
      <c r="DI62" s="193"/>
      <c r="DJ62" s="193"/>
      <c r="DK62" s="193"/>
      <c r="DL62" s="193"/>
      <c r="DM62" s="193"/>
      <c r="DN62" s="193"/>
      <c r="DO62" s="193"/>
      <c r="DP62" s="193"/>
      <c r="DQ62" s="193"/>
      <c r="DR62" s="193"/>
      <c r="DS62" s="193"/>
      <c r="DT62" s="193"/>
      <c r="DU62" s="193"/>
      <c r="DV62" s="193"/>
      <c r="DW62" s="193"/>
      <c r="DX62" s="193"/>
      <c r="DY62" s="193"/>
      <c r="DZ62" s="193"/>
      <c r="EA62" s="193"/>
      <c r="EB62" s="193"/>
      <c r="EC62" s="193"/>
      <c r="ED62" s="193"/>
      <c r="EE62" s="193"/>
      <c r="EF62" s="193"/>
      <c r="EG62" s="536"/>
      <c r="EH62" s="193"/>
      <c r="EI62" s="193"/>
      <c r="EJ62" s="193"/>
      <c r="EK62" s="193"/>
      <c r="EL62" s="193"/>
      <c r="EM62" s="193"/>
      <c r="EN62" s="193"/>
      <c r="EO62" s="193"/>
      <c r="EP62" s="193"/>
      <c r="EQ62" s="193"/>
      <c r="ER62" s="193"/>
      <c r="ES62" s="193"/>
      <c r="ET62" s="193"/>
      <c r="EU62" s="193"/>
    </row>
    <row r="63" spans="1:151" ht="12.9">
      <c r="A63" s="193"/>
      <c r="B63" s="193"/>
      <c r="C63" s="193"/>
      <c r="D63" s="193"/>
      <c r="E63" s="193"/>
      <c r="F63" s="193"/>
      <c r="G63" s="193"/>
      <c r="H63" s="193"/>
      <c r="I63" s="193"/>
      <c r="J63" s="193"/>
      <c r="K63" s="193"/>
      <c r="L63" s="193"/>
      <c r="M63" s="193"/>
      <c r="N63" s="193"/>
      <c r="O63" s="193"/>
      <c r="P63" s="193"/>
      <c r="Q63" s="193"/>
      <c r="R63" s="193"/>
      <c r="S63" s="193"/>
      <c r="T63" s="193"/>
      <c r="U63" s="193"/>
      <c r="V63" s="193"/>
      <c r="W63" s="193"/>
      <c r="X63" s="193"/>
      <c r="Y63" s="193"/>
      <c r="Z63" s="193"/>
      <c r="AA63" s="193"/>
      <c r="AB63" s="193"/>
      <c r="AC63" s="193"/>
      <c r="AD63" s="193"/>
      <c r="AE63" s="193"/>
      <c r="AF63" s="193"/>
      <c r="AG63" s="193"/>
      <c r="AH63" s="193"/>
      <c r="AI63" s="193"/>
      <c r="AJ63" s="193"/>
      <c r="AK63" s="193"/>
      <c r="AL63" s="193"/>
      <c r="AM63" s="193"/>
      <c r="AN63" s="193"/>
      <c r="AO63" s="193"/>
      <c r="AP63" s="193"/>
      <c r="AQ63" s="193"/>
      <c r="AR63" s="193"/>
      <c r="AS63" s="193"/>
      <c r="AT63" s="193"/>
      <c r="AU63" s="193"/>
      <c r="AV63" s="193"/>
      <c r="AW63" s="193"/>
      <c r="AX63" s="193"/>
      <c r="AY63" s="193"/>
      <c r="AZ63" s="193"/>
      <c r="BA63" s="193"/>
      <c r="BB63" s="193"/>
      <c r="BC63" s="193"/>
      <c r="BD63" s="193"/>
      <c r="BE63" s="193"/>
      <c r="BF63" s="193"/>
      <c r="BG63" s="193"/>
      <c r="BH63" s="193"/>
      <c r="BI63" s="193"/>
      <c r="BJ63" s="193"/>
      <c r="BK63" s="193"/>
      <c r="BL63" s="193"/>
      <c r="BM63" s="193"/>
      <c r="BN63" s="193"/>
      <c r="BO63" s="193"/>
      <c r="BP63" s="193"/>
      <c r="BQ63" s="193"/>
      <c r="BR63" s="193"/>
      <c r="BS63" s="193"/>
      <c r="BT63" s="193"/>
      <c r="BU63" s="193"/>
      <c r="BV63" s="193"/>
      <c r="BW63" s="193"/>
      <c r="BX63" s="193"/>
      <c r="BY63" s="193"/>
      <c r="BZ63" s="193"/>
      <c r="CA63" s="193"/>
      <c r="CB63" s="193"/>
      <c r="CC63" s="193"/>
      <c r="CD63" s="193"/>
      <c r="CE63" s="193"/>
      <c r="CF63" s="193"/>
      <c r="CG63" s="193"/>
      <c r="CH63" s="193"/>
      <c r="CI63" s="193"/>
      <c r="CJ63" s="193"/>
      <c r="CK63" s="193"/>
      <c r="CL63" s="193"/>
      <c r="CM63" s="193"/>
      <c r="CN63" s="193"/>
      <c r="CO63" s="605"/>
      <c r="CP63" s="193"/>
      <c r="CQ63" s="193"/>
      <c r="CR63" s="193"/>
      <c r="CS63" s="193"/>
      <c r="CT63" s="193"/>
      <c r="CU63" s="193"/>
      <c r="CV63" s="193"/>
      <c r="CW63" s="193"/>
      <c r="CX63" s="193"/>
      <c r="CY63" s="193"/>
      <c r="CZ63" s="193"/>
      <c r="DA63" s="193"/>
      <c r="DB63" s="193"/>
      <c r="DC63" s="193"/>
      <c r="DD63" s="193"/>
      <c r="DE63" s="193"/>
      <c r="DF63" s="193"/>
      <c r="DG63" s="193"/>
      <c r="DH63" s="193"/>
      <c r="DI63" s="193"/>
      <c r="DJ63" s="193"/>
      <c r="DK63" s="193"/>
      <c r="DL63" s="193"/>
      <c r="DM63" s="193"/>
      <c r="DN63" s="193"/>
      <c r="DO63" s="193"/>
      <c r="DP63" s="193"/>
      <c r="DQ63" s="193"/>
      <c r="DR63" s="193"/>
      <c r="DS63" s="193"/>
      <c r="DT63" s="193"/>
      <c r="DU63" s="193"/>
      <c r="DV63" s="193"/>
      <c r="DW63" s="193"/>
      <c r="DX63" s="193"/>
      <c r="DY63" s="193"/>
      <c r="DZ63" s="193"/>
      <c r="EA63" s="193"/>
      <c r="EB63" s="193"/>
      <c r="EC63" s="193"/>
      <c r="ED63" s="193"/>
      <c r="EE63" s="193"/>
      <c r="EF63" s="193"/>
      <c r="EG63" s="536"/>
      <c r="EH63" s="193"/>
      <c r="EI63" s="193"/>
      <c r="EJ63" s="193"/>
      <c r="EK63" s="193"/>
      <c r="EL63" s="193"/>
      <c r="EM63" s="193"/>
      <c r="EN63" s="193"/>
      <c r="EO63" s="193"/>
      <c r="EP63" s="193"/>
      <c r="EQ63" s="193"/>
      <c r="ER63" s="193"/>
      <c r="ES63" s="193"/>
      <c r="ET63" s="193"/>
      <c r="EU63" s="193"/>
    </row>
    <row r="64" spans="1:151" ht="12.9">
      <c r="A64" s="193"/>
      <c r="B64" s="193"/>
      <c r="C64" s="193"/>
      <c r="D64" s="193"/>
      <c r="E64" s="193"/>
      <c r="F64" s="193"/>
      <c r="G64" s="193"/>
      <c r="H64" s="193"/>
      <c r="I64" s="193"/>
      <c r="J64" s="193"/>
      <c r="K64" s="193"/>
      <c r="L64" s="193"/>
      <c r="M64" s="193"/>
      <c r="N64" s="193"/>
      <c r="O64" s="193"/>
      <c r="P64" s="193"/>
      <c r="Q64" s="193"/>
      <c r="R64" s="193"/>
      <c r="S64" s="193"/>
      <c r="T64" s="193"/>
      <c r="U64" s="193"/>
      <c r="V64" s="193"/>
      <c r="W64" s="193"/>
      <c r="X64" s="193"/>
      <c r="Y64" s="193"/>
      <c r="Z64" s="193"/>
      <c r="AA64" s="193"/>
      <c r="AB64" s="292"/>
      <c r="AC64" s="193"/>
      <c r="AD64" s="193"/>
      <c r="AE64" s="193"/>
      <c r="AF64" s="193"/>
      <c r="AG64" s="193"/>
      <c r="AH64" s="193"/>
      <c r="AI64" s="193"/>
      <c r="AJ64" s="193"/>
      <c r="AK64" s="193"/>
      <c r="AL64" s="193"/>
      <c r="AM64" s="193"/>
      <c r="AN64" s="193"/>
      <c r="AO64" s="193"/>
      <c r="AP64" s="193"/>
      <c r="AQ64" s="193"/>
      <c r="AR64" s="193"/>
      <c r="AS64" s="193"/>
      <c r="AT64" s="193"/>
      <c r="AU64" s="193"/>
      <c r="AV64" s="193"/>
      <c r="AW64" s="193"/>
      <c r="AX64" s="193"/>
      <c r="AY64" s="193"/>
      <c r="AZ64" s="193"/>
      <c r="BA64" s="193"/>
      <c r="BB64" s="193"/>
      <c r="BC64" s="193"/>
      <c r="BD64" s="193"/>
      <c r="BE64" s="193"/>
      <c r="BF64" s="193"/>
      <c r="BG64" s="193"/>
      <c r="BH64" s="193"/>
      <c r="BI64" s="193"/>
      <c r="BJ64" s="193"/>
      <c r="BK64" s="193"/>
      <c r="BL64" s="193"/>
      <c r="BM64" s="193"/>
      <c r="BN64" s="193"/>
      <c r="BO64" s="193"/>
      <c r="BP64" s="193"/>
      <c r="BQ64" s="193"/>
      <c r="BR64" s="193"/>
      <c r="BS64" s="193"/>
      <c r="BT64" s="193"/>
      <c r="BU64" s="193"/>
      <c r="BV64" s="193"/>
      <c r="BW64" s="193"/>
      <c r="BX64" s="193"/>
      <c r="BY64" s="193"/>
      <c r="BZ64" s="193"/>
      <c r="CA64" s="193"/>
      <c r="CB64" s="193"/>
      <c r="CC64" s="193"/>
      <c r="CD64" s="193"/>
      <c r="CE64" s="193"/>
      <c r="CF64" s="193"/>
      <c r="CG64" s="193"/>
      <c r="CH64" s="193"/>
      <c r="CI64" s="193"/>
      <c r="CJ64" s="193"/>
      <c r="CK64" s="193"/>
      <c r="CL64" s="193"/>
      <c r="CM64" s="193"/>
      <c r="CN64" s="193"/>
      <c r="CO64" s="193"/>
      <c r="CP64" s="193"/>
      <c r="CQ64" s="193"/>
      <c r="CR64" s="193"/>
      <c r="CS64" s="193"/>
      <c r="CT64" s="193"/>
      <c r="CU64" s="193"/>
      <c r="CV64" s="193"/>
      <c r="CW64" s="193"/>
      <c r="CX64" s="193"/>
      <c r="CY64" s="193"/>
      <c r="CZ64" s="193"/>
      <c r="DA64" s="193"/>
      <c r="DB64" s="193"/>
      <c r="DC64" s="193"/>
      <c r="DD64" s="193"/>
      <c r="DE64" s="193"/>
      <c r="DF64" s="193"/>
      <c r="DG64" s="193"/>
      <c r="DH64" s="193"/>
      <c r="DI64" s="193"/>
      <c r="DJ64" s="193"/>
      <c r="DK64" s="193"/>
      <c r="DL64" s="193"/>
      <c r="DM64" s="193"/>
      <c r="DN64" s="193"/>
      <c r="DO64" s="193"/>
      <c r="DP64" s="193"/>
      <c r="DQ64" s="193"/>
      <c r="DR64" s="193"/>
      <c r="DS64" s="193"/>
      <c r="DT64" s="193"/>
      <c r="DU64" s="193"/>
      <c r="DV64" s="193"/>
      <c r="DW64" s="193"/>
      <c r="DX64" s="193"/>
      <c r="DY64" s="193"/>
      <c r="DZ64" s="193"/>
      <c r="EA64" s="193"/>
      <c r="EB64" s="193"/>
      <c r="EC64" s="193"/>
      <c r="ED64" s="193"/>
      <c r="EE64" s="193"/>
      <c r="EF64" s="193"/>
      <c r="EG64" s="193"/>
      <c r="EH64" s="193"/>
      <c r="EI64" s="193"/>
      <c r="EJ64" s="193"/>
      <c r="EK64" s="193"/>
      <c r="EL64" s="193"/>
      <c r="EM64" s="193"/>
      <c r="EN64" s="193"/>
      <c r="EO64" s="193"/>
      <c r="EP64" s="193"/>
      <c r="EQ64" s="193"/>
      <c r="ER64" s="193"/>
      <c r="ES64" s="193"/>
      <c r="ET64" s="193"/>
      <c r="EU64" s="193"/>
    </row>
    <row r="65" spans="1:151" ht="12.9">
      <c r="A65" s="193"/>
      <c r="B65" s="193"/>
      <c r="C65" s="193"/>
      <c r="D65" s="193"/>
      <c r="E65" s="193"/>
      <c r="F65" s="193"/>
      <c r="G65" s="193"/>
      <c r="H65" s="193"/>
      <c r="I65" s="193"/>
      <c r="J65" s="193"/>
      <c r="K65" s="193"/>
      <c r="L65" s="193"/>
      <c r="M65" s="193"/>
      <c r="N65" s="193"/>
      <c r="O65" s="193"/>
      <c r="P65" s="193"/>
      <c r="Q65" s="193"/>
      <c r="R65" s="193"/>
      <c r="S65" s="193"/>
      <c r="T65" s="193"/>
      <c r="U65" s="193"/>
      <c r="V65" s="193"/>
      <c r="W65" s="193"/>
      <c r="X65" s="193"/>
      <c r="Y65" s="193"/>
      <c r="Z65" s="193"/>
      <c r="AA65" s="193"/>
      <c r="AB65" s="292"/>
      <c r="AC65" s="193"/>
      <c r="AD65" s="193"/>
      <c r="AE65" s="193"/>
      <c r="AF65" s="193"/>
      <c r="AG65" s="193"/>
      <c r="AH65" s="193"/>
      <c r="AI65" s="193"/>
      <c r="AJ65" s="193"/>
      <c r="AK65" s="193"/>
      <c r="AL65" s="193"/>
      <c r="AM65" s="193"/>
      <c r="AN65" s="193"/>
      <c r="AO65" s="193"/>
      <c r="AP65" s="193"/>
      <c r="AQ65" s="193"/>
      <c r="AR65" s="193"/>
      <c r="AS65" s="193"/>
      <c r="AT65" s="193"/>
      <c r="AU65" s="193"/>
      <c r="AV65" s="193"/>
      <c r="AW65" s="193"/>
      <c r="AX65" s="193"/>
      <c r="AY65" s="193"/>
      <c r="AZ65" s="193"/>
      <c r="BA65" s="193"/>
      <c r="BB65" s="193"/>
      <c r="BC65" s="193"/>
      <c r="BD65" s="193"/>
      <c r="BE65" s="193"/>
      <c r="BF65" s="193"/>
      <c r="BG65" s="193"/>
      <c r="BH65" s="193"/>
      <c r="BI65" s="193"/>
      <c r="BJ65" s="193"/>
      <c r="BK65" s="193"/>
      <c r="BL65" s="193"/>
      <c r="BM65" s="193"/>
      <c r="BN65" s="193"/>
      <c r="BO65" s="193"/>
      <c r="BP65" s="193"/>
      <c r="BQ65" s="193"/>
      <c r="BR65" s="193"/>
      <c r="BS65" s="193"/>
      <c r="BT65" s="193"/>
      <c r="BU65" s="193"/>
      <c r="BV65" s="193"/>
      <c r="BW65" s="193"/>
      <c r="BX65" s="193"/>
      <c r="BY65" s="193"/>
      <c r="BZ65" s="193"/>
      <c r="CA65" s="193"/>
      <c r="CB65" s="193"/>
      <c r="CC65" s="193"/>
      <c r="CD65" s="193"/>
      <c r="CE65" s="193"/>
      <c r="CF65" s="193"/>
      <c r="CG65" s="193"/>
      <c r="CH65" s="193"/>
      <c r="CI65" s="193"/>
      <c r="CJ65" s="193"/>
      <c r="CK65" s="193"/>
      <c r="CL65" s="193"/>
      <c r="CM65" s="193"/>
      <c r="CN65" s="193"/>
      <c r="CO65" s="605"/>
      <c r="CP65" s="193"/>
      <c r="CQ65" s="193"/>
      <c r="CR65" s="193"/>
      <c r="CS65" s="193"/>
      <c r="CT65" s="193"/>
      <c r="CU65" s="193"/>
      <c r="CV65" s="193"/>
      <c r="CW65" s="193"/>
      <c r="CX65" s="193"/>
      <c r="CY65" s="193"/>
      <c r="CZ65" s="193"/>
      <c r="DA65" s="193"/>
      <c r="DB65" s="193"/>
      <c r="DC65" s="193"/>
      <c r="DD65" s="193"/>
      <c r="DE65" s="193"/>
      <c r="DF65" s="193"/>
      <c r="DG65" s="193"/>
      <c r="DH65" s="193"/>
      <c r="DI65" s="193"/>
      <c r="DJ65" s="193"/>
      <c r="DK65" s="193"/>
      <c r="DL65" s="193"/>
      <c r="DM65" s="193"/>
      <c r="DN65" s="193"/>
      <c r="DO65" s="193"/>
      <c r="DP65" s="193"/>
      <c r="DQ65" s="193"/>
      <c r="DR65" s="193"/>
      <c r="DS65" s="193"/>
      <c r="DT65" s="193"/>
      <c r="DU65" s="193"/>
      <c r="DV65" s="193"/>
      <c r="DW65" s="193"/>
      <c r="DX65" s="193"/>
      <c r="DY65" s="193"/>
      <c r="DZ65" s="193"/>
      <c r="EA65" s="193"/>
      <c r="EB65" s="193"/>
      <c r="EC65" s="193"/>
      <c r="ED65" s="193"/>
      <c r="EE65" s="193"/>
      <c r="EF65" s="193"/>
      <c r="EG65" s="193"/>
      <c r="EH65" s="193"/>
      <c r="EI65" s="193"/>
      <c r="EJ65" s="193"/>
      <c r="EK65" s="536"/>
      <c r="EL65" s="193"/>
      <c r="EM65" s="193"/>
      <c r="EN65" s="193"/>
      <c r="EO65" s="193"/>
      <c r="EP65" s="193"/>
      <c r="EQ65" s="193"/>
      <c r="ER65" s="193"/>
      <c r="ES65" s="193"/>
      <c r="ET65" s="193"/>
      <c r="EU65" s="193"/>
    </row>
    <row r="66" spans="1:151" ht="12.9">
      <c r="A66" s="193"/>
      <c r="B66" s="193"/>
      <c r="C66" s="193"/>
      <c r="D66" s="193"/>
      <c r="E66" s="193"/>
      <c r="F66" s="193"/>
      <c r="G66" s="193"/>
      <c r="H66" s="193"/>
      <c r="I66" s="193"/>
      <c r="J66" s="193"/>
      <c r="K66" s="193"/>
      <c r="L66" s="193"/>
      <c r="M66" s="193"/>
      <c r="N66" s="193"/>
      <c r="O66" s="193"/>
      <c r="P66" s="193"/>
      <c r="Q66" s="193"/>
      <c r="R66" s="193"/>
      <c r="S66" s="193"/>
      <c r="T66" s="193"/>
      <c r="U66" s="193"/>
      <c r="V66" s="193"/>
      <c r="W66" s="193"/>
      <c r="X66" s="193"/>
      <c r="Y66" s="193"/>
      <c r="Z66" s="193"/>
      <c r="AA66" s="193"/>
      <c r="AB66" s="292"/>
      <c r="AC66" s="193"/>
      <c r="AD66" s="193"/>
      <c r="AE66" s="193"/>
      <c r="AF66" s="193"/>
      <c r="AG66" s="193"/>
      <c r="AH66" s="193"/>
      <c r="AI66" s="193"/>
      <c r="AJ66" s="193"/>
      <c r="AK66" s="193"/>
      <c r="AL66" s="193"/>
      <c r="AM66" s="193"/>
      <c r="AN66" s="193"/>
      <c r="AO66" s="193"/>
      <c r="AP66" s="193"/>
      <c r="AQ66" s="193"/>
      <c r="AR66" s="193"/>
      <c r="AS66" s="193"/>
      <c r="AT66" s="193"/>
      <c r="AU66" s="193"/>
      <c r="AV66" s="193"/>
      <c r="AW66" s="193"/>
      <c r="AX66" s="193"/>
      <c r="AY66" s="193"/>
      <c r="AZ66" s="193"/>
      <c r="BA66" s="193"/>
      <c r="BB66" s="193"/>
      <c r="BC66" s="193"/>
      <c r="BD66" s="193"/>
      <c r="BE66" s="193"/>
      <c r="BF66" s="193"/>
      <c r="BG66" s="193"/>
      <c r="BH66" s="193"/>
      <c r="BI66" s="193"/>
      <c r="BJ66" s="193"/>
      <c r="BK66" s="193"/>
      <c r="BL66" s="193"/>
      <c r="BM66" s="193"/>
      <c r="BN66" s="193"/>
      <c r="BO66" s="193"/>
      <c r="BP66" s="193"/>
      <c r="BQ66" s="193"/>
      <c r="BR66" s="193"/>
      <c r="BS66" s="193"/>
      <c r="BT66" s="193"/>
      <c r="BU66" s="193"/>
      <c r="BV66" s="193"/>
      <c r="BW66" s="193"/>
      <c r="BX66" s="193"/>
      <c r="BY66" s="193"/>
      <c r="BZ66" s="193"/>
      <c r="CA66" s="193"/>
      <c r="CB66" s="193"/>
      <c r="CC66" s="193"/>
      <c r="CD66" s="193"/>
      <c r="CE66" s="193"/>
      <c r="CF66" s="193"/>
      <c r="CG66" s="193"/>
      <c r="CH66" s="193"/>
      <c r="CI66" s="193"/>
      <c r="CJ66" s="193"/>
      <c r="CK66" s="193"/>
      <c r="CL66" s="193"/>
      <c r="CM66" s="193"/>
      <c r="CN66" s="193"/>
      <c r="CO66" s="193"/>
      <c r="CP66" s="193"/>
      <c r="CQ66" s="193"/>
      <c r="CR66" s="193"/>
      <c r="CS66" s="193"/>
      <c r="CT66" s="193"/>
      <c r="CU66" s="193"/>
      <c r="CV66" s="193"/>
      <c r="CW66" s="193"/>
      <c r="CX66" s="193"/>
      <c r="CY66" s="193"/>
      <c r="CZ66" s="193"/>
      <c r="DA66" s="193"/>
      <c r="DB66" s="193"/>
      <c r="DC66" s="193"/>
      <c r="DD66" s="193"/>
      <c r="DE66" s="193"/>
      <c r="DF66" s="193"/>
      <c r="DG66" s="193"/>
      <c r="DH66" s="193"/>
      <c r="DI66" s="193"/>
      <c r="DJ66" s="193"/>
      <c r="DK66" s="193"/>
      <c r="DL66" s="193"/>
      <c r="DM66" s="193"/>
      <c r="DN66" s="193"/>
      <c r="DO66" s="193"/>
      <c r="DP66" s="193"/>
      <c r="DQ66" s="193"/>
      <c r="DR66" s="193"/>
      <c r="DS66" s="193"/>
      <c r="DT66" s="193"/>
      <c r="DU66" s="193"/>
      <c r="DV66" s="193"/>
      <c r="DW66" s="193"/>
      <c r="DX66" s="193"/>
      <c r="DY66" s="193"/>
      <c r="DZ66" s="193"/>
      <c r="EA66" s="193"/>
      <c r="EB66" s="193"/>
      <c r="EC66" s="193"/>
      <c r="ED66" s="193"/>
      <c r="EE66" s="193"/>
      <c r="EF66" s="193"/>
      <c r="EG66" s="193"/>
      <c r="EH66" s="193"/>
      <c r="EI66" s="193"/>
      <c r="EJ66" s="193"/>
      <c r="EK66" s="193"/>
      <c r="EL66" s="193"/>
      <c r="EM66" s="193"/>
      <c r="EN66" s="193"/>
      <c r="EO66" s="193"/>
      <c r="EP66" s="193"/>
      <c r="EQ66" s="193"/>
      <c r="ER66" s="193"/>
      <c r="ES66" s="193"/>
      <c r="ET66" s="193"/>
      <c r="EU66" s="193"/>
    </row>
    <row r="67" spans="1:151" ht="12.9">
      <c r="A67" s="193"/>
      <c r="B67" s="193"/>
      <c r="C67" s="193"/>
      <c r="D67" s="193"/>
      <c r="E67" s="193"/>
      <c r="F67" s="193"/>
      <c r="G67" s="193"/>
      <c r="H67" s="193"/>
      <c r="I67" s="193"/>
      <c r="J67" s="193"/>
      <c r="K67" s="193"/>
      <c r="L67" s="193"/>
      <c r="M67" s="193"/>
      <c r="N67" s="193"/>
      <c r="O67" s="193"/>
      <c r="P67" s="193"/>
      <c r="Q67" s="193"/>
      <c r="R67" s="193"/>
      <c r="S67" s="193"/>
      <c r="T67" s="193"/>
      <c r="U67" s="193"/>
      <c r="V67" s="193"/>
      <c r="W67" s="193"/>
      <c r="X67" s="193"/>
      <c r="Y67" s="193"/>
      <c r="Z67" s="193"/>
      <c r="AA67" s="193"/>
      <c r="AB67" s="292"/>
      <c r="AC67" s="193"/>
      <c r="AD67" s="193"/>
      <c r="AE67" s="193"/>
      <c r="AF67" s="193"/>
      <c r="AG67" s="193"/>
      <c r="AH67" s="193"/>
      <c r="AI67" s="193"/>
      <c r="AJ67" s="193"/>
      <c r="AK67" s="193"/>
      <c r="AL67" s="193"/>
      <c r="AM67" s="193"/>
      <c r="AN67" s="193"/>
      <c r="AO67" s="193"/>
      <c r="AP67" s="193"/>
      <c r="AQ67" s="193"/>
      <c r="AR67" s="193"/>
      <c r="AS67" s="193"/>
      <c r="AT67" s="193"/>
      <c r="AU67" s="193"/>
      <c r="AV67" s="193"/>
      <c r="AW67" s="193"/>
      <c r="AX67" s="193"/>
      <c r="AY67" s="193"/>
      <c r="AZ67" s="193"/>
      <c r="BA67" s="193"/>
      <c r="BB67" s="193"/>
      <c r="BC67" s="193"/>
      <c r="BD67" s="193"/>
      <c r="BE67" s="193"/>
      <c r="BF67" s="193"/>
      <c r="BG67" s="193"/>
      <c r="BH67" s="193"/>
      <c r="BI67" s="193"/>
      <c r="BJ67" s="193"/>
      <c r="BK67" s="193"/>
      <c r="BL67" s="193"/>
      <c r="BM67" s="193"/>
      <c r="BN67" s="193"/>
      <c r="BO67" s="193"/>
      <c r="BP67" s="193"/>
      <c r="BQ67" s="193"/>
      <c r="BR67" s="193"/>
      <c r="BS67" s="193"/>
      <c r="BT67" s="193"/>
      <c r="BU67" s="193"/>
      <c r="BV67" s="193"/>
      <c r="BW67" s="193"/>
      <c r="BX67" s="193"/>
      <c r="BY67" s="193"/>
      <c r="BZ67" s="193"/>
      <c r="CA67" s="193"/>
      <c r="CB67" s="193"/>
      <c r="CC67" s="193"/>
      <c r="CD67" s="193"/>
      <c r="CE67" s="193"/>
      <c r="CF67" s="193"/>
      <c r="CG67" s="193"/>
      <c r="CH67" s="193"/>
      <c r="CI67" s="193"/>
      <c r="CJ67" s="193"/>
      <c r="CK67" s="193"/>
      <c r="CL67" s="193"/>
      <c r="CM67" s="193"/>
      <c r="CN67" s="193"/>
      <c r="CO67" s="193"/>
      <c r="CP67" s="193"/>
      <c r="CQ67" s="193"/>
      <c r="CR67" s="193"/>
      <c r="CS67" s="193"/>
      <c r="CT67" s="193"/>
      <c r="CU67" s="193"/>
      <c r="CV67" s="193"/>
      <c r="CW67" s="193"/>
      <c r="CX67" s="193"/>
      <c r="CY67" s="193"/>
      <c r="CZ67" s="193"/>
      <c r="DA67" s="193"/>
      <c r="DB67" s="193"/>
      <c r="DC67" s="193"/>
      <c r="DD67" s="193"/>
      <c r="DE67" s="193"/>
      <c r="DF67" s="193"/>
      <c r="DG67" s="193"/>
      <c r="DH67" s="193"/>
      <c r="DI67" s="193"/>
      <c r="DJ67" s="193"/>
      <c r="DK67" s="193"/>
      <c r="DL67" s="193"/>
      <c r="DM67" s="193"/>
      <c r="DN67" s="193"/>
      <c r="DO67" s="193"/>
      <c r="DP67" s="193"/>
      <c r="DQ67" s="193"/>
      <c r="DR67" s="193"/>
      <c r="DS67" s="193"/>
      <c r="DT67" s="193"/>
      <c r="DU67" s="193"/>
      <c r="DV67" s="193"/>
      <c r="DW67" s="193"/>
      <c r="DX67" s="193"/>
      <c r="DY67" s="193"/>
      <c r="DZ67" s="193"/>
      <c r="EA67" s="193"/>
      <c r="EB67" s="193"/>
      <c r="EC67" s="193"/>
      <c r="ED67" s="193"/>
      <c r="EE67" s="193"/>
      <c r="EF67" s="193"/>
      <c r="EG67" s="193"/>
      <c r="EH67" s="193"/>
      <c r="EI67" s="193"/>
      <c r="EJ67" s="193"/>
      <c r="EK67" s="193"/>
      <c r="EL67" s="193"/>
      <c r="EM67" s="193"/>
      <c r="EN67" s="193"/>
      <c r="EO67" s="193"/>
      <c r="EP67" s="193"/>
      <c r="EQ67" s="193"/>
      <c r="ER67" s="193"/>
      <c r="ES67" s="193"/>
      <c r="ET67" s="193"/>
      <c r="EU67" s="193"/>
    </row>
    <row r="68" spans="1:151" ht="12.9">
      <c r="A68" s="193"/>
      <c r="B68" s="193"/>
      <c r="C68" s="193"/>
      <c r="D68" s="193"/>
      <c r="E68" s="193"/>
      <c r="F68" s="193"/>
      <c r="G68" s="193"/>
      <c r="H68" s="193"/>
      <c r="I68" s="193"/>
      <c r="J68" s="193"/>
      <c r="K68" s="193"/>
      <c r="L68" s="193"/>
      <c r="M68" s="193"/>
      <c r="N68" s="193"/>
      <c r="O68" s="193"/>
      <c r="P68" s="193"/>
      <c r="Q68" s="193"/>
      <c r="R68" s="193"/>
      <c r="S68" s="193"/>
      <c r="T68" s="193"/>
      <c r="U68" s="193"/>
      <c r="V68" s="193"/>
      <c r="W68" s="193"/>
      <c r="X68" s="193"/>
      <c r="Y68" s="193"/>
      <c r="Z68" s="193"/>
      <c r="AA68" s="193"/>
      <c r="AB68" s="292"/>
      <c r="AC68" s="193"/>
      <c r="AD68" s="193"/>
      <c r="AE68" s="193"/>
      <c r="AF68" s="193"/>
      <c r="AG68" s="193"/>
      <c r="AH68" s="193"/>
      <c r="AI68" s="193"/>
      <c r="AJ68" s="193"/>
      <c r="AK68" s="193"/>
      <c r="AL68" s="193"/>
      <c r="AM68" s="193"/>
      <c r="AN68" s="193"/>
      <c r="AO68" s="193"/>
      <c r="AP68" s="193"/>
      <c r="AQ68" s="193"/>
      <c r="AR68" s="193"/>
      <c r="AS68" s="193"/>
      <c r="AT68" s="193"/>
      <c r="AU68" s="193"/>
      <c r="AV68" s="193"/>
      <c r="AW68" s="193"/>
      <c r="AX68" s="193"/>
      <c r="AY68" s="193"/>
      <c r="AZ68" s="193"/>
      <c r="BA68" s="193"/>
      <c r="BB68" s="193"/>
      <c r="BC68" s="193"/>
      <c r="BD68" s="193"/>
      <c r="BE68" s="193"/>
      <c r="BF68" s="193"/>
      <c r="BG68" s="193"/>
      <c r="BH68" s="193"/>
      <c r="BI68" s="193"/>
      <c r="BJ68" s="193"/>
      <c r="BK68" s="193"/>
      <c r="BL68" s="193"/>
      <c r="BM68" s="193"/>
      <c r="BN68" s="193"/>
      <c r="BO68" s="193"/>
      <c r="BP68" s="193"/>
      <c r="BQ68" s="193"/>
      <c r="BR68" s="193"/>
      <c r="BS68" s="193"/>
      <c r="BT68" s="193"/>
      <c r="BU68" s="193"/>
      <c r="BV68" s="193"/>
      <c r="BW68" s="193"/>
      <c r="BX68" s="193"/>
      <c r="BY68" s="193"/>
      <c r="BZ68" s="193"/>
      <c r="CA68" s="193"/>
      <c r="CB68" s="193"/>
      <c r="CC68" s="193"/>
      <c r="CD68" s="193"/>
      <c r="CE68" s="193"/>
      <c r="CF68" s="193"/>
      <c r="CG68" s="193"/>
      <c r="CH68" s="193"/>
      <c r="CI68" s="193"/>
      <c r="CJ68" s="193"/>
      <c r="CK68" s="193"/>
      <c r="CL68" s="193"/>
      <c r="CM68" s="193"/>
      <c r="CN68" s="193"/>
      <c r="CO68" s="193"/>
      <c r="CP68" s="193"/>
      <c r="CQ68" s="193"/>
      <c r="CR68" s="193"/>
      <c r="CS68" s="193"/>
      <c r="CT68" s="193"/>
      <c r="CU68" s="193"/>
      <c r="CV68" s="193"/>
      <c r="CW68" s="193"/>
      <c r="CX68" s="193"/>
      <c r="CY68" s="193"/>
      <c r="CZ68" s="193"/>
      <c r="DA68" s="193"/>
      <c r="DB68" s="193"/>
      <c r="DC68" s="193"/>
      <c r="DD68" s="193"/>
      <c r="DE68" s="193"/>
      <c r="DF68" s="193"/>
      <c r="DG68" s="193"/>
      <c r="DH68" s="193"/>
      <c r="DI68" s="193"/>
      <c r="DJ68" s="193"/>
      <c r="DK68" s="193"/>
      <c r="DL68" s="193"/>
      <c r="DM68" s="193"/>
      <c r="DN68" s="193"/>
      <c r="DO68" s="193"/>
      <c r="DP68" s="193"/>
      <c r="DQ68" s="193"/>
      <c r="DR68" s="193"/>
      <c r="DS68" s="193"/>
      <c r="DT68" s="193"/>
      <c r="DU68" s="193"/>
      <c r="DV68" s="193"/>
      <c r="DW68" s="193"/>
      <c r="DX68" s="193"/>
      <c r="DY68" s="193"/>
      <c r="DZ68" s="193"/>
      <c r="EA68" s="193"/>
      <c r="EB68" s="193"/>
      <c r="EC68" s="193"/>
      <c r="ED68" s="193"/>
      <c r="EE68" s="193"/>
      <c r="EF68" s="193"/>
      <c r="EG68" s="536"/>
      <c r="EH68" s="193"/>
      <c r="EI68" s="193"/>
      <c r="EJ68" s="193"/>
      <c r="EK68" s="193"/>
      <c r="EL68" s="193"/>
      <c r="EM68" s="193"/>
      <c r="EN68" s="193"/>
      <c r="EO68" s="193"/>
      <c r="EP68" s="193"/>
      <c r="EQ68" s="193"/>
      <c r="ER68" s="193"/>
      <c r="ES68" s="193"/>
      <c r="ET68" s="193"/>
      <c r="EU68" s="193"/>
    </row>
    <row r="69" spans="1:151" ht="12.9">
      <c r="A69" s="193"/>
      <c r="B69" s="193"/>
      <c r="C69" s="193"/>
      <c r="D69" s="193"/>
      <c r="E69" s="193"/>
      <c r="F69" s="193"/>
      <c r="G69" s="193"/>
      <c r="H69" s="193"/>
      <c r="I69" s="193"/>
      <c r="J69" s="193"/>
      <c r="K69" s="193"/>
      <c r="L69" s="193"/>
      <c r="M69" s="193"/>
      <c r="N69" s="193"/>
      <c r="O69" s="193"/>
      <c r="P69" s="193"/>
      <c r="Q69" s="193"/>
      <c r="R69" s="193"/>
      <c r="S69" s="193"/>
      <c r="T69" s="193"/>
      <c r="U69" s="193"/>
      <c r="V69" s="193"/>
      <c r="W69" s="193"/>
      <c r="X69" s="193"/>
      <c r="Y69" s="193"/>
      <c r="Z69" s="193"/>
      <c r="AA69" s="193"/>
      <c r="AB69" s="193"/>
      <c r="AC69" s="193"/>
      <c r="AD69" s="193"/>
      <c r="AE69" s="193"/>
      <c r="AF69" s="193"/>
      <c r="AG69" s="193"/>
      <c r="AH69" s="193"/>
      <c r="AI69" s="193"/>
      <c r="AJ69" s="193"/>
      <c r="AK69" s="193"/>
      <c r="AL69" s="193"/>
      <c r="AM69" s="193"/>
      <c r="AN69" s="193"/>
      <c r="AO69" s="193"/>
      <c r="AP69" s="193"/>
      <c r="AQ69" s="193"/>
      <c r="AR69" s="193"/>
      <c r="AS69" s="193"/>
      <c r="AT69" s="193"/>
      <c r="AU69" s="193"/>
      <c r="AV69" s="193"/>
      <c r="AW69" s="193"/>
      <c r="AX69" s="193"/>
      <c r="AY69" s="193"/>
      <c r="AZ69" s="193"/>
      <c r="BA69" s="193"/>
      <c r="BB69" s="193"/>
      <c r="BC69" s="193"/>
      <c r="BD69" s="193"/>
      <c r="BE69" s="193"/>
      <c r="BF69" s="193"/>
      <c r="BG69" s="193"/>
      <c r="BH69" s="193"/>
      <c r="BI69" s="193"/>
      <c r="BJ69" s="193"/>
      <c r="BK69" s="193"/>
      <c r="BL69" s="193"/>
      <c r="BM69" s="193"/>
      <c r="BN69" s="193"/>
      <c r="BO69" s="193"/>
      <c r="BP69" s="193"/>
      <c r="BQ69" s="193"/>
      <c r="BR69" s="193"/>
      <c r="BS69" s="193"/>
      <c r="BT69" s="193"/>
      <c r="BU69" s="193"/>
      <c r="BV69" s="193"/>
      <c r="BW69" s="193"/>
      <c r="BX69" s="193"/>
      <c r="BY69" s="193"/>
      <c r="BZ69" s="193"/>
      <c r="CA69" s="193"/>
      <c r="CB69" s="193"/>
      <c r="CC69" s="193"/>
      <c r="CD69" s="193"/>
      <c r="CE69" s="193"/>
      <c r="CF69" s="193"/>
      <c r="CG69" s="193"/>
      <c r="CH69" s="193"/>
      <c r="CI69" s="193"/>
      <c r="CJ69" s="193"/>
      <c r="CK69" s="193"/>
      <c r="CL69" s="193"/>
      <c r="CM69" s="193"/>
      <c r="CN69" s="193"/>
      <c r="CO69" s="193"/>
      <c r="CP69" s="193"/>
      <c r="CQ69" s="193"/>
      <c r="CR69" s="193"/>
      <c r="CS69" s="193"/>
      <c r="CT69" s="193"/>
      <c r="CU69" s="193"/>
      <c r="CV69" s="193"/>
      <c r="CW69" s="193"/>
      <c r="CX69" s="193"/>
      <c r="CY69" s="193"/>
      <c r="CZ69" s="193"/>
      <c r="DA69" s="193"/>
      <c r="DB69" s="193"/>
      <c r="DC69" s="193"/>
      <c r="DD69" s="193"/>
      <c r="DE69" s="193"/>
      <c r="DF69" s="193"/>
      <c r="DG69" s="193"/>
      <c r="DH69" s="193"/>
      <c r="DI69" s="193"/>
      <c r="DJ69" s="193"/>
      <c r="DK69" s="193"/>
      <c r="DL69" s="193"/>
      <c r="DM69" s="193"/>
      <c r="DN69" s="193"/>
      <c r="DO69" s="193"/>
      <c r="DP69" s="193"/>
      <c r="DQ69" s="193"/>
      <c r="DR69" s="193"/>
      <c r="DS69" s="193"/>
      <c r="DT69" s="193"/>
      <c r="DU69" s="193"/>
      <c r="DV69" s="193"/>
      <c r="DW69" s="193"/>
      <c r="DX69" s="193"/>
      <c r="DY69" s="193"/>
      <c r="DZ69" s="193"/>
      <c r="EA69" s="193"/>
      <c r="EB69" s="193"/>
      <c r="EC69" s="193"/>
      <c r="ED69" s="193"/>
      <c r="EE69" s="193"/>
      <c r="EF69" s="193"/>
      <c r="EG69" s="193"/>
      <c r="EH69" s="193"/>
      <c r="EI69" s="193"/>
      <c r="EJ69" s="193"/>
      <c r="EK69" s="193"/>
      <c r="EL69" s="193"/>
      <c r="EM69" s="193"/>
      <c r="EN69" s="193"/>
      <c r="EO69" s="193"/>
      <c r="EP69" s="193"/>
      <c r="EQ69" s="193"/>
      <c r="ER69" s="193"/>
      <c r="ES69" s="193"/>
      <c r="ET69" s="193"/>
      <c r="EU69" s="193"/>
    </row>
    <row r="70" spans="1:151" ht="12.9">
      <c r="A70" s="193"/>
      <c r="B70" s="193"/>
      <c r="C70" s="193"/>
      <c r="D70" s="193"/>
      <c r="E70" s="193"/>
      <c r="F70" s="193"/>
      <c r="G70" s="193"/>
      <c r="H70" s="193"/>
      <c r="I70" s="193"/>
      <c r="J70" s="193"/>
      <c r="K70" s="193"/>
      <c r="L70" s="193"/>
      <c r="M70" s="193"/>
      <c r="N70" s="193"/>
      <c r="O70" s="193"/>
      <c r="P70" s="193"/>
      <c r="Q70" s="193"/>
      <c r="R70" s="193"/>
      <c r="S70" s="193"/>
      <c r="T70" s="193"/>
      <c r="U70" s="193"/>
      <c r="V70" s="193"/>
      <c r="W70" s="193"/>
      <c r="X70" s="193"/>
      <c r="Y70" s="193"/>
      <c r="Z70" s="193"/>
      <c r="AA70" s="193"/>
      <c r="AB70" s="193"/>
      <c r="AC70" s="193"/>
      <c r="AD70" s="193"/>
      <c r="AE70" s="193"/>
      <c r="AF70" s="193"/>
      <c r="AG70" s="193"/>
      <c r="AH70" s="193"/>
      <c r="AI70" s="193"/>
      <c r="AJ70" s="193"/>
      <c r="AK70" s="193"/>
      <c r="AL70" s="193"/>
      <c r="AM70" s="193"/>
      <c r="AN70" s="193"/>
      <c r="AO70" s="193"/>
      <c r="AP70" s="193"/>
      <c r="AQ70" s="193"/>
      <c r="AR70" s="193"/>
      <c r="AS70" s="193"/>
      <c r="AT70" s="193"/>
      <c r="AU70" s="193"/>
      <c r="AV70" s="193"/>
      <c r="AW70" s="193"/>
      <c r="AX70" s="193"/>
      <c r="AY70" s="193"/>
      <c r="AZ70" s="193"/>
      <c r="BA70" s="193"/>
      <c r="BB70" s="193"/>
      <c r="BC70" s="193"/>
      <c r="BD70" s="193"/>
      <c r="BE70" s="193"/>
      <c r="BF70" s="193"/>
      <c r="BG70" s="193"/>
      <c r="BH70" s="193"/>
      <c r="BI70" s="193"/>
      <c r="BJ70" s="193"/>
      <c r="BK70" s="193"/>
      <c r="BL70" s="193"/>
      <c r="BM70" s="193"/>
      <c r="BN70" s="193"/>
      <c r="BO70" s="193"/>
      <c r="BP70" s="193"/>
      <c r="BQ70" s="193"/>
      <c r="BR70" s="193"/>
      <c r="BS70" s="193"/>
      <c r="BT70" s="193"/>
      <c r="BU70" s="193"/>
      <c r="BV70" s="193"/>
      <c r="BW70" s="193"/>
      <c r="BX70" s="193"/>
      <c r="BY70" s="193"/>
      <c r="BZ70" s="193"/>
      <c r="CA70" s="193"/>
      <c r="CB70" s="193"/>
      <c r="CC70" s="193"/>
      <c r="CD70" s="193"/>
      <c r="CE70" s="193"/>
      <c r="CF70" s="193"/>
      <c r="CG70" s="193"/>
      <c r="CH70" s="193"/>
      <c r="CI70" s="193"/>
      <c r="CJ70" s="193"/>
      <c r="CK70" s="193"/>
      <c r="CL70" s="193"/>
      <c r="CM70" s="193"/>
      <c r="CN70" s="193"/>
      <c r="CO70" s="193"/>
      <c r="CP70" s="193"/>
      <c r="CQ70" s="193"/>
      <c r="CR70" s="193"/>
      <c r="CS70" s="193"/>
      <c r="CT70" s="193"/>
      <c r="CU70" s="193"/>
      <c r="CV70" s="193"/>
      <c r="CW70" s="193"/>
      <c r="CX70" s="193"/>
      <c r="CY70" s="193"/>
      <c r="CZ70" s="193"/>
      <c r="DA70" s="193"/>
      <c r="DB70" s="193"/>
      <c r="DC70" s="193"/>
      <c r="DD70" s="193"/>
      <c r="DE70" s="193"/>
      <c r="DF70" s="193"/>
      <c r="DG70" s="193"/>
      <c r="DH70" s="193"/>
      <c r="DI70" s="193"/>
      <c r="DJ70" s="193"/>
      <c r="DK70" s="193"/>
      <c r="DL70" s="193"/>
      <c r="DM70" s="193"/>
      <c r="DN70" s="193"/>
      <c r="DO70" s="193"/>
      <c r="DP70" s="193"/>
      <c r="DQ70" s="193"/>
      <c r="DR70" s="193"/>
      <c r="DS70" s="193"/>
      <c r="DT70" s="193"/>
      <c r="DU70" s="193"/>
      <c r="DV70" s="193"/>
      <c r="DW70" s="193"/>
      <c r="DX70" s="193"/>
      <c r="DY70" s="193"/>
      <c r="DZ70" s="193"/>
      <c r="EA70" s="193"/>
      <c r="EB70" s="193"/>
      <c r="EC70" s="193"/>
      <c r="ED70" s="193"/>
      <c r="EE70" s="193"/>
      <c r="EF70" s="193"/>
      <c r="EG70" s="193"/>
      <c r="EH70" s="193"/>
      <c r="EI70" s="193"/>
      <c r="EJ70" s="193"/>
      <c r="EK70" s="193"/>
      <c r="EL70" s="193"/>
      <c r="EM70" s="193"/>
      <c r="EN70" s="193"/>
      <c r="EO70" s="193"/>
      <c r="EP70" s="193"/>
      <c r="EQ70" s="193"/>
      <c r="ER70" s="193"/>
      <c r="ES70" s="193"/>
      <c r="ET70" s="193"/>
      <c r="EU70" s="193"/>
    </row>
    <row r="71" spans="1:151" ht="12.9">
      <c r="A71" s="193"/>
      <c r="B71" s="193"/>
      <c r="C71" s="193"/>
      <c r="D71" s="193"/>
      <c r="E71" s="193"/>
      <c r="F71" s="193"/>
      <c r="G71" s="193"/>
      <c r="H71" s="193"/>
      <c r="I71" s="193"/>
      <c r="J71" s="193"/>
      <c r="K71" s="193"/>
      <c r="L71" s="193"/>
      <c r="M71" s="193"/>
      <c r="N71" s="193"/>
      <c r="O71" s="193"/>
      <c r="P71" s="193"/>
      <c r="Q71" s="193"/>
      <c r="R71" s="193"/>
      <c r="S71" s="193"/>
      <c r="T71" s="193"/>
      <c r="U71" s="193"/>
      <c r="V71" s="193"/>
      <c r="W71" s="193"/>
      <c r="X71" s="193"/>
      <c r="Y71" s="193"/>
      <c r="Z71" s="193"/>
      <c r="AA71" s="193"/>
      <c r="AB71" s="193"/>
      <c r="AC71" s="193"/>
      <c r="AD71" s="193"/>
      <c r="AE71" s="193"/>
      <c r="AF71" s="193"/>
      <c r="AG71" s="193"/>
      <c r="AH71" s="193"/>
      <c r="AI71" s="193"/>
      <c r="AJ71" s="193"/>
      <c r="AK71" s="193"/>
      <c r="AL71" s="193"/>
      <c r="AM71" s="193"/>
      <c r="AN71" s="193"/>
      <c r="AO71" s="193"/>
      <c r="AP71" s="193"/>
      <c r="AQ71" s="193"/>
      <c r="AR71" s="193"/>
      <c r="AS71" s="193"/>
      <c r="AT71" s="193"/>
      <c r="AU71" s="193"/>
      <c r="AV71" s="193"/>
      <c r="AW71" s="193"/>
      <c r="AX71" s="193"/>
      <c r="AY71" s="193"/>
      <c r="AZ71" s="193"/>
      <c r="BA71" s="193"/>
      <c r="BB71" s="193"/>
      <c r="BC71" s="193"/>
      <c r="BD71" s="193"/>
      <c r="BE71" s="193"/>
      <c r="BF71" s="193"/>
      <c r="BG71" s="193"/>
      <c r="BH71" s="193"/>
      <c r="BI71" s="193"/>
      <c r="BJ71" s="193"/>
      <c r="BK71" s="193"/>
      <c r="BL71" s="193"/>
      <c r="BM71" s="193"/>
      <c r="BN71" s="193"/>
      <c r="BO71" s="193"/>
      <c r="BP71" s="193"/>
      <c r="BQ71" s="193"/>
      <c r="BR71" s="193"/>
      <c r="BS71" s="193"/>
      <c r="BT71" s="193"/>
      <c r="BU71" s="193"/>
      <c r="BV71" s="193"/>
      <c r="BW71" s="193"/>
      <c r="BX71" s="193"/>
      <c r="BY71" s="193"/>
      <c r="BZ71" s="193"/>
      <c r="CA71" s="193"/>
      <c r="CB71" s="193"/>
      <c r="CC71" s="193"/>
      <c r="CD71" s="193"/>
      <c r="CE71" s="193"/>
      <c r="CF71" s="193"/>
      <c r="CG71" s="193"/>
      <c r="CH71" s="193"/>
      <c r="CI71" s="193"/>
      <c r="CJ71" s="193"/>
      <c r="CK71" s="193"/>
      <c r="CL71" s="193"/>
      <c r="CM71" s="193"/>
      <c r="CN71" s="193"/>
      <c r="CO71" s="193"/>
      <c r="CP71" s="193"/>
      <c r="CQ71" s="193"/>
      <c r="CR71" s="193"/>
      <c r="CS71" s="193"/>
      <c r="CT71" s="193"/>
      <c r="CU71" s="193"/>
      <c r="CV71" s="193"/>
      <c r="CW71" s="193"/>
      <c r="CX71" s="193"/>
      <c r="CY71" s="193"/>
      <c r="CZ71" s="193"/>
      <c r="DA71" s="193"/>
      <c r="DB71" s="193"/>
      <c r="DC71" s="193"/>
      <c r="DD71" s="193"/>
      <c r="DE71" s="193"/>
      <c r="DF71" s="193"/>
      <c r="DG71" s="193"/>
      <c r="DH71" s="193"/>
      <c r="DI71" s="193"/>
      <c r="DJ71" s="193"/>
      <c r="DK71" s="193"/>
      <c r="DL71" s="193"/>
      <c r="DM71" s="193"/>
      <c r="DN71" s="193"/>
      <c r="DO71" s="193"/>
      <c r="DP71" s="193"/>
      <c r="DQ71" s="193"/>
      <c r="DR71" s="193"/>
      <c r="DS71" s="193"/>
      <c r="DT71" s="193"/>
      <c r="DU71" s="193"/>
      <c r="DV71" s="193"/>
      <c r="DW71" s="193"/>
      <c r="DX71" s="193"/>
      <c r="DY71" s="193"/>
      <c r="DZ71" s="193"/>
      <c r="EA71" s="193"/>
      <c r="EB71" s="193"/>
      <c r="EC71" s="193"/>
      <c r="ED71" s="193"/>
      <c r="EE71" s="193"/>
      <c r="EF71" s="193"/>
      <c r="EG71" s="193"/>
      <c r="EH71" s="193"/>
      <c r="EI71" s="193"/>
      <c r="EJ71" s="193"/>
      <c r="EK71" s="193"/>
      <c r="EL71" s="193"/>
      <c r="EM71" s="193"/>
      <c r="EN71" s="193"/>
      <c r="EO71" s="193"/>
      <c r="EP71" s="193"/>
      <c r="EQ71" s="193"/>
      <c r="ER71" s="193"/>
      <c r="ES71" s="193"/>
      <c r="ET71" s="193"/>
      <c r="EU71" s="193"/>
    </row>
    <row r="72" spans="1:151" ht="12.9">
      <c r="A72" s="193"/>
      <c r="B72" s="193"/>
      <c r="C72" s="193"/>
      <c r="D72" s="193"/>
      <c r="E72" s="193"/>
      <c r="F72" s="193"/>
      <c r="G72" s="193"/>
      <c r="H72" s="193"/>
      <c r="I72" s="193"/>
      <c r="J72" s="193"/>
      <c r="K72" s="193"/>
      <c r="L72" s="193"/>
      <c r="M72" s="193"/>
      <c r="N72" s="193"/>
      <c r="O72" s="193"/>
      <c r="P72" s="193"/>
      <c r="Q72" s="193"/>
      <c r="R72" s="193"/>
      <c r="S72" s="193"/>
      <c r="T72" s="193"/>
      <c r="U72" s="193"/>
      <c r="V72" s="193"/>
      <c r="W72" s="193"/>
      <c r="X72" s="193"/>
      <c r="Y72" s="193"/>
      <c r="Z72" s="193"/>
      <c r="AA72" s="193"/>
      <c r="AB72" s="193"/>
      <c r="AC72" s="193"/>
      <c r="AD72" s="193"/>
      <c r="AE72" s="193"/>
      <c r="AF72" s="193"/>
      <c r="AG72" s="193"/>
      <c r="AH72" s="193"/>
      <c r="AI72" s="193"/>
      <c r="AJ72" s="193"/>
      <c r="AK72" s="193"/>
      <c r="AL72" s="193"/>
      <c r="AM72" s="193"/>
      <c r="AN72" s="193"/>
      <c r="AO72" s="193"/>
      <c r="AP72" s="193"/>
      <c r="AQ72" s="193"/>
      <c r="AR72" s="193"/>
      <c r="AS72" s="193"/>
      <c r="AT72" s="193"/>
      <c r="AU72" s="193"/>
      <c r="AV72" s="193"/>
      <c r="AW72" s="193"/>
      <c r="AX72" s="193"/>
      <c r="AY72" s="193"/>
      <c r="AZ72" s="193"/>
      <c r="BA72" s="193"/>
      <c r="BB72" s="193"/>
      <c r="BC72" s="193"/>
      <c r="BD72" s="193"/>
      <c r="BE72" s="193"/>
      <c r="BF72" s="193"/>
      <c r="BG72" s="193"/>
      <c r="BH72" s="193"/>
      <c r="BI72" s="193"/>
      <c r="BJ72" s="193"/>
      <c r="BK72" s="193"/>
      <c r="BL72" s="193"/>
      <c r="BM72" s="193"/>
      <c r="BN72" s="193"/>
      <c r="BO72" s="193"/>
      <c r="BP72" s="193"/>
      <c r="BQ72" s="193"/>
      <c r="BR72" s="193"/>
      <c r="BS72" s="193"/>
      <c r="BT72" s="193"/>
      <c r="BU72" s="193"/>
      <c r="BV72" s="193"/>
      <c r="BW72" s="193"/>
      <c r="BX72" s="193"/>
      <c r="BY72" s="193"/>
      <c r="BZ72" s="193"/>
      <c r="CA72" s="193"/>
      <c r="CB72" s="193"/>
      <c r="CC72" s="193"/>
      <c r="CD72" s="193"/>
      <c r="CE72" s="193"/>
      <c r="CF72" s="193"/>
      <c r="CG72" s="193"/>
      <c r="CH72" s="193"/>
      <c r="CI72" s="193"/>
      <c r="CJ72" s="193"/>
      <c r="CK72" s="193"/>
      <c r="CL72" s="193"/>
      <c r="CM72" s="193"/>
      <c r="CN72" s="193"/>
      <c r="CO72" s="193"/>
      <c r="CP72" s="193"/>
      <c r="CQ72" s="193"/>
      <c r="CR72" s="193"/>
      <c r="CS72" s="193"/>
      <c r="CT72" s="193"/>
      <c r="CU72" s="193"/>
      <c r="CV72" s="193"/>
      <c r="CW72" s="193"/>
      <c r="CX72" s="193"/>
      <c r="CY72" s="193"/>
      <c r="CZ72" s="193"/>
      <c r="DA72" s="193"/>
      <c r="DB72" s="193"/>
      <c r="DC72" s="193"/>
      <c r="DD72" s="193"/>
      <c r="DE72" s="193"/>
      <c r="DF72" s="193"/>
      <c r="DG72" s="193"/>
      <c r="DH72" s="193"/>
      <c r="DI72" s="193"/>
      <c r="DJ72" s="193"/>
      <c r="DK72" s="193"/>
      <c r="DL72" s="193"/>
      <c r="DM72" s="193"/>
      <c r="DN72" s="193"/>
      <c r="DO72" s="193"/>
      <c r="DP72" s="193"/>
      <c r="DQ72" s="193"/>
      <c r="DR72" s="193"/>
      <c r="DS72" s="193"/>
      <c r="DT72" s="193"/>
      <c r="DU72" s="193"/>
      <c r="DV72" s="193"/>
      <c r="DW72" s="193"/>
      <c r="DX72" s="193"/>
      <c r="DY72" s="193"/>
      <c r="DZ72" s="193"/>
      <c r="EA72" s="193"/>
      <c r="EB72" s="193"/>
      <c r="EC72" s="193"/>
      <c r="ED72" s="193"/>
      <c r="EE72" s="193"/>
      <c r="EF72" s="193"/>
      <c r="EG72" s="193"/>
      <c r="EH72" s="193"/>
      <c r="EI72" s="193"/>
      <c r="EJ72" s="193"/>
      <c r="EK72" s="193"/>
      <c r="EL72" s="193"/>
      <c r="EM72" s="193"/>
      <c r="EN72" s="193"/>
      <c r="EO72" s="193"/>
      <c r="EP72" s="193"/>
      <c r="EQ72" s="193"/>
      <c r="ER72" s="193"/>
      <c r="ES72" s="193"/>
      <c r="ET72" s="193"/>
      <c r="EU72" s="193"/>
    </row>
    <row r="73" spans="1:151" ht="12.9">
      <c r="A73" s="193"/>
      <c r="B73" s="193"/>
      <c r="C73" s="193"/>
      <c r="D73" s="193"/>
      <c r="E73" s="193"/>
      <c r="F73" s="193"/>
      <c r="G73" s="193"/>
      <c r="H73" s="193"/>
      <c r="I73" s="193"/>
      <c r="J73" s="193"/>
      <c r="K73" s="193"/>
      <c r="L73" s="193"/>
      <c r="M73" s="193"/>
      <c r="N73" s="193"/>
      <c r="O73" s="193"/>
      <c r="P73" s="193"/>
      <c r="Q73" s="193"/>
      <c r="R73" s="193"/>
      <c r="S73" s="193"/>
      <c r="T73" s="193"/>
      <c r="U73" s="193"/>
      <c r="V73" s="193"/>
      <c r="W73" s="193"/>
      <c r="X73" s="193"/>
      <c r="Y73" s="193"/>
      <c r="Z73" s="193"/>
      <c r="AA73" s="193"/>
      <c r="AB73" s="193"/>
      <c r="AC73" s="193"/>
      <c r="AD73" s="193"/>
      <c r="AE73" s="193"/>
      <c r="AF73" s="193"/>
      <c r="AG73" s="193"/>
      <c r="AH73" s="193"/>
      <c r="AI73" s="193"/>
      <c r="AJ73" s="193"/>
      <c r="AK73" s="193"/>
      <c r="AL73" s="193"/>
      <c r="AM73" s="193"/>
      <c r="AN73" s="193"/>
      <c r="AO73" s="193"/>
      <c r="AP73" s="193"/>
      <c r="AQ73" s="193"/>
      <c r="AR73" s="193"/>
      <c r="AS73" s="193"/>
      <c r="AT73" s="193"/>
      <c r="AU73" s="193"/>
      <c r="AV73" s="193"/>
      <c r="AW73" s="193"/>
      <c r="AX73" s="193"/>
      <c r="AY73" s="193"/>
      <c r="AZ73" s="193"/>
      <c r="BA73" s="193"/>
      <c r="BB73" s="193"/>
      <c r="BC73" s="193"/>
      <c r="BD73" s="193"/>
      <c r="BE73" s="193"/>
      <c r="BF73" s="193"/>
      <c r="BG73" s="193"/>
      <c r="BH73" s="193"/>
      <c r="BI73" s="193"/>
      <c r="BJ73" s="193"/>
      <c r="BK73" s="193"/>
      <c r="BL73" s="193"/>
      <c r="BM73" s="193"/>
      <c r="BN73" s="193"/>
      <c r="BO73" s="193"/>
      <c r="BP73" s="193"/>
      <c r="BQ73" s="193"/>
      <c r="BR73" s="193"/>
      <c r="BS73" s="193"/>
      <c r="BT73" s="193"/>
      <c r="BU73" s="193"/>
      <c r="BV73" s="193"/>
      <c r="BW73" s="193"/>
      <c r="BX73" s="193"/>
      <c r="BY73" s="193"/>
      <c r="BZ73" s="193"/>
      <c r="CA73" s="193"/>
      <c r="CB73" s="193"/>
      <c r="CC73" s="193"/>
      <c r="CD73" s="193"/>
      <c r="CE73" s="193"/>
      <c r="CF73" s="193"/>
      <c r="CG73" s="193"/>
      <c r="CH73" s="193"/>
      <c r="CI73" s="193"/>
      <c r="CJ73" s="193"/>
      <c r="CK73" s="193"/>
      <c r="CL73" s="193"/>
      <c r="CM73" s="193"/>
      <c r="CN73" s="193"/>
      <c r="CO73" s="193"/>
      <c r="CP73" s="193"/>
      <c r="CQ73" s="193"/>
      <c r="CR73" s="193"/>
      <c r="CS73" s="193"/>
      <c r="CT73" s="193"/>
      <c r="CU73" s="193"/>
      <c r="CV73" s="193"/>
      <c r="CW73" s="193"/>
      <c r="CX73" s="193"/>
      <c r="CY73" s="193"/>
      <c r="CZ73" s="193"/>
      <c r="DA73" s="193"/>
      <c r="DB73" s="193"/>
      <c r="DC73" s="193"/>
      <c r="DD73" s="193"/>
      <c r="DE73" s="193"/>
      <c r="DF73" s="193"/>
      <c r="DG73" s="193"/>
      <c r="DH73" s="193"/>
      <c r="DI73" s="193"/>
      <c r="DJ73" s="193"/>
      <c r="DK73" s="193"/>
      <c r="DL73" s="193"/>
      <c r="DM73" s="193"/>
      <c r="DN73" s="193"/>
      <c r="DO73" s="193"/>
      <c r="DP73" s="193"/>
      <c r="DQ73" s="193"/>
      <c r="DR73" s="193"/>
      <c r="DS73" s="193"/>
      <c r="DT73" s="193"/>
      <c r="DU73" s="193"/>
      <c r="DV73" s="193"/>
      <c r="DW73" s="193"/>
      <c r="DX73" s="193"/>
      <c r="DY73" s="193"/>
      <c r="DZ73" s="193"/>
      <c r="EA73" s="193"/>
      <c r="EB73" s="193"/>
      <c r="EC73" s="193"/>
      <c r="ED73" s="193"/>
      <c r="EE73" s="536"/>
      <c r="EF73" s="193"/>
      <c r="EG73" s="193"/>
      <c r="EH73" s="193"/>
      <c r="EI73" s="193"/>
      <c r="EJ73" s="193"/>
      <c r="EK73" s="193"/>
      <c r="EL73" s="193"/>
      <c r="EM73" s="193"/>
      <c r="EN73" s="193"/>
      <c r="EO73" s="193"/>
      <c r="EP73" s="193"/>
      <c r="EQ73" s="193"/>
      <c r="ER73" s="193"/>
      <c r="ES73" s="193"/>
      <c r="ET73" s="193"/>
      <c r="EU73" s="193"/>
    </row>
    <row r="74" spans="1:151" ht="12.9">
      <c r="A74" s="193"/>
      <c r="B74" s="193"/>
      <c r="C74" s="193"/>
      <c r="D74" s="193"/>
      <c r="E74" s="193"/>
      <c r="F74" s="193"/>
      <c r="G74" s="193"/>
      <c r="H74" s="193"/>
      <c r="I74" s="193"/>
      <c r="J74" s="193"/>
      <c r="K74" s="193"/>
      <c r="L74" s="193"/>
      <c r="M74" s="193"/>
      <c r="N74" s="193"/>
      <c r="O74" s="193"/>
      <c r="P74" s="193"/>
      <c r="Q74" s="193"/>
      <c r="R74" s="193"/>
      <c r="S74" s="193"/>
      <c r="T74" s="193"/>
      <c r="U74" s="193"/>
      <c r="V74" s="193"/>
      <c r="W74" s="193"/>
      <c r="X74" s="193"/>
      <c r="Y74" s="193"/>
      <c r="Z74" s="193"/>
      <c r="AA74" s="193"/>
      <c r="AB74" s="193"/>
      <c r="AC74" s="193"/>
      <c r="AD74" s="193"/>
      <c r="AE74" s="193"/>
      <c r="AF74" s="193"/>
      <c r="AG74" s="193"/>
      <c r="AH74" s="193"/>
      <c r="AI74" s="193"/>
      <c r="AJ74" s="193"/>
      <c r="AK74" s="193"/>
      <c r="AL74" s="193"/>
      <c r="AM74" s="193"/>
      <c r="AN74" s="193"/>
      <c r="AO74" s="193"/>
      <c r="AP74" s="193"/>
      <c r="AQ74" s="193"/>
      <c r="AR74" s="193"/>
      <c r="AS74" s="193"/>
      <c r="AT74" s="193"/>
      <c r="AU74" s="193"/>
      <c r="AV74" s="193"/>
      <c r="AW74" s="193"/>
      <c r="AX74" s="193"/>
      <c r="AY74" s="193"/>
      <c r="AZ74" s="193"/>
      <c r="BA74" s="193"/>
      <c r="BB74" s="193"/>
      <c r="BC74" s="193"/>
      <c r="BD74" s="193"/>
      <c r="BE74" s="193"/>
      <c r="BF74" s="193"/>
      <c r="BG74" s="193"/>
      <c r="BH74" s="193"/>
      <c r="BI74" s="193"/>
      <c r="BJ74" s="193"/>
      <c r="BK74" s="193"/>
      <c r="BL74" s="193"/>
      <c r="BM74" s="193"/>
      <c r="BN74" s="193"/>
      <c r="BO74" s="193"/>
      <c r="BP74" s="193"/>
      <c r="BQ74" s="193"/>
      <c r="BR74" s="193"/>
      <c r="BS74" s="193"/>
      <c r="BT74" s="193"/>
      <c r="BU74" s="193"/>
      <c r="BV74" s="193"/>
      <c r="BW74" s="193"/>
      <c r="BX74" s="193"/>
      <c r="BY74" s="193"/>
      <c r="BZ74" s="193"/>
      <c r="CA74" s="193"/>
      <c r="CB74" s="193"/>
      <c r="CC74" s="193"/>
      <c r="CD74" s="193"/>
      <c r="CE74" s="193"/>
      <c r="CF74" s="193"/>
      <c r="CG74" s="193"/>
      <c r="CH74" s="193"/>
      <c r="CI74" s="193"/>
      <c r="CJ74" s="193"/>
      <c r="CK74" s="193"/>
      <c r="CL74" s="193"/>
      <c r="CM74" s="193"/>
      <c r="CN74" s="193"/>
      <c r="CO74" s="193"/>
      <c r="CP74" s="193"/>
      <c r="CQ74" s="193"/>
      <c r="CR74" s="193"/>
      <c r="CS74" s="193"/>
      <c r="CT74" s="193"/>
      <c r="CU74" s="193"/>
      <c r="CV74" s="193"/>
      <c r="CW74" s="193"/>
      <c r="CX74" s="193"/>
      <c r="CY74" s="193"/>
      <c r="CZ74" s="193"/>
      <c r="DA74" s="193"/>
      <c r="DB74" s="193"/>
      <c r="DC74" s="193"/>
      <c r="DD74" s="193"/>
      <c r="DE74" s="193"/>
      <c r="DF74" s="193"/>
      <c r="DG74" s="193"/>
      <c r="DH74" s="193"/>
      <c r="DI74" s="193"/>
      <c r="DJ74" s="193"/>
      <c r="DK74" s="193"/>
      <c r="DL74" s="193"/>
      <c r="DM74" s="193"/>
      <c r="DN74" s="193"/>
      <c r="DO74" s="193"/>
      <c r="DP74" s="193"/>
      <c r="DQ74" s="193"/>
      <c r="DR74" s="193"/>
      <c r="DS74" s="193"/>
      <c r="DT74" s="193"/>
      <c r="DU74" s="193"/>
      <c r="DV74" s="193"/>
      <c r="DW74" s="193"/>
      <c r="DX74" s="193"/>
      <c r="DY74" s="193"/>
      <c r="DZ74" s="193"/>
      <c r="EA74" s="193"/>
      <c r="EB74" s="193"/>
      <c r="EC74" s="193"/>
      <c r="ED74" s="193"/>
      <c r="EE74" s="536"/>
      <c r="EF74" s="193"/>
      <c r="EG74" s="193"/>
      <c r="EH74" s="193"/>
      <c r="EI74" s="193"/>
      <c r="EJ74" s="193"/>
      <c r="EK74" s="193"/>
      <c r="EL74" s="193"/>
      <c r="EM74" s="193"/>
      <c r="EN74" s="193"/>
      <c r="EO74" s="193"/>
      <c r="EP74" s="193"/>
      <c r="EQ74" s="193"/>
      <c r="ER74" s="193"/>
      <c r="ES74" s="193"/>
      <c r="ET74" s="193"/>
      <c r="EU74" s="193"/>
    </row>
    <row r="75" spans="1:151" ht="12.9">
      <c r="A75" s="193"/>
      <c r="B75" s="193"/>
      <c r="C75" s="193"/>
      <c r="D75" s="193"/>
      <c r="E75" s="193"/>
      <c r="F75" s="193"/>
      <c r="G75" s="193"/>
      <c r="H75" s="193"/>
      <c r="I75" s="193"/>
      <c r="J75" s="193"/>
      <c r="K75" s="193"/>
      <c r="L75" s="193"/>
      <c r="M75" s="193"/>
      <c r="N75" s="193"/>
      <c r="O75" s="193"/>
      <c r="P75" s="193"/>
      <c r="Q75" s="193"/>
      <c r="R75" s="193"/>
      <c r="S75" s="193"/>
      <c r="T75" s="193"/>
      <c r="U75" s="193"/>
      <c r="V75" s="193"/>
      <c r="W75" s="193"/>
      <c r="X75" s="193"/>
      <c r="Y75" s="193"/>
      <c r="Z75" s="193"/>
      <c r="AA75" s="193"/>
      <c r="AB75" s="193"/>
      <c r="AC75" s="193"/>
      <c r="AD75" s="193"/>
      <c r="AE75" s="193"/>
      <c r="AF75" s="193"/>
      <c r="AG75" s="193"/>
      <c r="AH75" s="193"/>
      <c r="AI75" s="193"/>
      <c r="AJ75" s="193"/>
      <c r="AK75" s="193"/>
      <c r="AL75" s="193"/>
      <c r="AM75" s="193"/>
      <c r="AN75" s="193"/>
      <c r="AO75" s="193"/>
      <c r="AP75" s="193"/>
      <c r="AQ75" s="193"/>
      <c r="AR75" s="193"/>
      <c r="AS75" s="193"/>
      <c r="AT75" s="193"/>
      <c r="AU75" s="193"/>
      <c r="AV75" s="193"/>
      <c r="AW75" s="193"/>
      <c r="AX75" s="193"/>
      <c r="AY75" s="193"/>
      <c r="AZ75" s="193"/>
      <c r="BA75" s="193"/>
      <c r="BB75" s="193"/>
      <c r="BC75" s="193"/>
      <c r="BD75" s="193"/>
      <c r="BE75" s="193"/>
      <c r="BF75" s="193"/>
      <c r="BG75" s="193"/>
      <c r="BH75" s="193"/>
      <c r="BI75" s="193"/>
      <c r="BJ75" s="193"/>
      <c r="BK75" s="193"/>
      <c r="BL75" s="193"/>
      <c r="BM75" s="193"/>
      <c r="BN75" s="193"/>
      <c r="BO75" s="193"/>
      <c r="BP75" s="193"/>
      <c r="BQ75" s="193"/>
      <c r="BR75" s="193"/>
      <c r="BS75" s="193"/>
      <c r="BT75" s="193"/>
      <c r="BU75" s="193"/>
      <c r="BV75" s="193"/>
      <c r="BW75" s="193"/>
      <c r="BX75" s="193"/>
      <c r="BY75" s="193"/>
      <c r="BZ75" s="193"/>
      <c r="CA75" s="193"/>
      <c r="CB75" s="193"/>
      <c r="CC75" s="193"/>
      <c r="CD75" s="193"/>
      <c r="CE75" s="193"/>
      <c r="CF75" s="193"/>
      <c r="CG75" s="193"/>
      <c r="CH75" s="193"/>
      <c r="CI75" s="193"/>
      <c r="CJ75" s="193"/>
      <c r="CK75" s="193"/>
      <c r="CL75" s="193"/>
      <c r="CM75" s="193"/>
      <c r="CN75" s="193"/>
      <c r="CO75" s="193"/>
      <c r="CP75" s="193"/>
      <c r="CQ75" s="193"/>
      <c r="CR75" s="193"/>
      <c r="CS75" s="193"/>
      <c r="CT75" s="193"/>
      <c r="CU75" s="193"/>
      <c r="CV75" s="193"/>
      <c r="CW75" s="193"/>
      <c r="CX75" s="193"/>
      <c r="CY75" s="193"/>
      <c r="CZ75" s="193"/>
      <c r="DA75" s="193"/>
      <c r="DB75" s="193"/>
      <c r="DC75" s="193"/>
      <c r="DD75" s="193"/>
      <c r="DE75" s="193"/>
      <c r="DF75" s="193"/>
      <c r="DG75" s="193"/>
      <c r="DH75" s="193"/>
      <c r="DI75" s="193"/>
      <c r="DJ75" s="193"/>
      <c r="DK75" s="193"/>
      <c r="DL75" s="193"/>
      <c r="DM75" s="193"/>
      <c r="DN75" s="193"/>
      <c r="DO75" s="193"/>
      <c r="DP75" s="193"/>
      <c r="DQ75" s="193"/>
      <c r="DR75" s="193"/>
      <c r="DS75" s="193"/>
      <c r="DT75" s="193"/>
      <c r="DU75" s="193"/>
      <c r="DV75" s="193"/>
      <c r="DW75" s="193"/>
      <c r="DX75" s="193"/>
      <c r="DY75" s="193"/>
      <c r="DZ75" s="193"/>
      <c r="EA75" s="193"/>
      <c r="EB75" s="193"/>
      <c r="EC75" s="193"/>
      <c r="ED75" s="193"/>
      <c r="EE75" s="536"/>
      <c r="EF75" s="193"/>
      <c r="EG75" s="193"/>
      <c r="EH75" s="193"/>
      <c r="EI75" s="193"/>
      <c r="EJ75" s="193"/>
      <c r="EK75" s="193"/>
      <c r="EL75" s="193"/>
      <c r="EM75" s="193"/>
      <c r="EN75" s="193"/>
      <c r="EO75" s="193"/>
      <c r="EP75" s="193"/>
      <c r="EQ75" s="193"/>
      <c r="ER75" s="193"/>
      <c r="ES75" s="193"/>
      <c r="ET75" s="193"/>
      <c r="EU75" s="193"/>
    </row>
    <row r="76" spans="1:151" ht="12.9">
      <c r="A76" s="193"/>
      <c r="B76" s="193"/>
      <c r="C76" s="193"/>
      <c r="D76" s="193"/>
      <c r="E76" s="193"/>
      <c r="F76" s="193"/>
      <c r="G76" s="193"/>
      <c r="H76" s="193"/>
      <c r="I76" s="193"/>
      <c r="J76" s="193"/>
      <c r="K76" s="193"/>
      <c r="L76" s="193"/>
      <c r="M76" s="193"/>
      <c r="N76" s="193"/>
      <c r="O76" s="193"/>
      <c r="P76" s="193"/>
      <c r="Q76" s="193"/>
      <c r="R76" s="193"/>
      <c r="S76" s="193"/>
      <c r="T76" s="193"/>
      <c r="U76" s="193"/>
      <c r="V76" s="193"/>
      <c r="W76" s="193"/>
      <c r="X76" s="193"/>
      <c r="Y76" s="193"/>
      <c r="Z76" s="193"/>
      <c r="AA76" s="193"/>
      <c r="AB76" s="193"/>
      <c r="AC76" s="193"/>
      <c r="AD76" s="193"/>
      <c r="AE76" s="193"/>
      <c r="AF76" s="193"/>
      <c r="AG76" s="193"/>
      <c r="AH76" s="193"/>
      <c r="AI76" s="193"/>
      <c r="AJ76" s="193"/>
      <c r="AK76" s="193"/>
      <c r="AL76" s="193"/>
      <c r="AM76" s="193"/>
      <c r="AN76" s="193"/>
      <c r="AO76" s="193"/>
      <c r="AP76" s="193"/>
      <c r="AQ76" s="193"/>
      <c r="AR76" s="193"/>
      <c r="AS76" s="193"/>
      <c r="AT76" s="193"/>
      <c r="AU76" s="193"/>
      <c r="AV76" s="193"/>
      <c r="AW76" s="193"/>
      <c r="AX76" s="193"/>
      <c r="AY76" s="193"/>
      <c r="AZ76" s="193"/>
      <c r="BA76" s="193"/>
      <c r="BB76" s="193"/>
      <c r="BC76" s="193"/>
      <c r="BD76" s="193"/>
      <c r="BE76" s="193"/>
      <c r="BF76" s="193"/>
      <c r="BG76" s="193"/>
      <c r="BH76" s="193"/>
      <c r="BI76" s="193"/>
      <c r="BJ76" s="193"/>
      <c r="BK76" s="193"/>
      <c r="BL76" s="193"/>
      <c r="BM76" s="193"/>
      <c r="BN76" s="193"/>
      <c r="BO76" s="193"/>
      <c r="BP76" s="193"/>
      <c r="BQ76" s="193"/>
      <c r="BR76" s="193"/>
      <c r="BS76" s="193"/>
      <c r="BT76" s="193"/>
      <c r="BU76" s="193"/>
      <c r="BV76" s="193"/>
      <c r="BW76" s="193"/>
      <c r="BX76" s="193"/>
      <c r="BY76" s="193"/>
      <c r="BZ76" s="193"/>
      <c r="CA76" s="193"/>
      <c r="CB76" s="193"/>
      <c r="CC76" s="193"/>
      <c r="CD76" s="193"/>
      <c r="CE76" s="193"/>
      <c r="CF76" s="193"/>
      <c r="CG76" s="193"/>
      <c r="CH76" s="193"/>
      <c r="CI76" s="193"/>
      <c r="CJ76" s="193"/>
      <c r="CK76" s="193"/>
      <c r="CL76" s="193"/>
      <c r="CM76" s="193"/>
      <c r="CN76" s="193"/>
      <c r="CO76" s="193"/>
      <c r="CP76" s="193"/>
      <c r="CQ76" s="193"/>
      <c r="CR76" s="193"/>
      <c r="CS76" s="193"/>
      <c r="CT76" s="193"/>
      <c r="CU76" s="193"/>
      <c r="CV76" s="193"/>
      <c r="CW76" s="193"/>
      <c r="CX76" s="193"/>
      <c r="CY76" s="193"/>
      <c r="CZ76" s="193"/>
      <c r="DA76" s="193"/>
      <c r="DB76" s="193"/>
      <c r="DC76" s="193"/>
      <c r="DD76" s="193"/>
      <c r="DE76" s="193"/>
      <c r="DF76" s="193"/>
      <c r="DG76" s="193"/>
      <c r="DH76" s="193"/>
      <c r="DI76" s="193"/>
      <c r="DJ76" s="193"/>
      <c r="DK76" s="193"/>
      <c r="DL76" s="193"/>
      <c r="DM76" s="193"/>
      <c r="DN76" s="193"/>
      <c r="DO76" s="193"/>
      <c r="DP76" s="193"/>
      <c r="DQ76" s="193"/>
      <c r="DR76" s="193"/>
      <c r="DS76" s="193"/>
      <c r="DT76" s="193"/>
      <c r="DU76" s="193"/>
      <c r="DV76" s="193"/>
      <c r="DW76" s="193"/>
      <c r="DX76" s="193"/>
      <c r="DY76" s="193"/>
      <c r="DZ76" s="193"/>
      <c r="EA76" s="193"/>
      <c r="EB76" s="193"/>
      <c r="EC76" s="193"/>
      <c r="ED76" s="193"/>
      <c r="EE76" s="193"/>
      <c r="EF76" s="193"/>
      <c r="EG76" s="193"/>
      <c r="EH76" s="193"/>
      <c r="EI76" s="193"/>
      <c r="EJ76" s="193"/>
      <c r="EK76" s="193"/>
      <c r="EL76" s="193"/>
      <c r="EM76" s="193"/>
      <c r="EN76" s="193"/>
      <c r="EO76" s="193"/>
      <c r="EP76" s="193"/>
      <c r="EQ76" s="193"/>
      <c r="ER76" s="193"/>
      <c r="ES76" s="193"/>
      <c r="ET76" s="193"/>
      <c r="EU76" s="193"/>
    </row>
    <row r="77" spans="1:151" ht="12.9">
      <c r="A77" s="193"/>
      <c r="B77" s="193"/>
      <c r="C77" s="193"/>
      <c r="D77" s="193"/>
      <c r="E77" s="193"/>
      <c r="F77" s="193"/>
      <c r="G77" s="193"/>
      <c r="H77" s="193"/>
      <c r="I77" s="193"/>
      <c r="J77" s="193"/>
      <c r="K77" s="193"/>
      <c r="L77" s="193"/>
      <c r="M77" s="193"/>
      <c r="N77" s="193"/>
      <c r="O77" s="193"/>
      <c r="P77" s="193"/>
      <c r="Q77" s="193"/>
      <c r="R77" s="193"/>
      <c r="S77" s="193"/>
      <c r="T77" s="193"/>
      <c r="U77" s="193"/>
      <c r="V77" s="193"/>
      <c r="W77" s="193"/>
      <c r="X77" s="193"/>
      <c r="Y77" s="193"/>
      <c r="Z77" s="193"/>
      <c r="AA77" s="193"/>
      <c r="AB77" s="193"/>
      <c r="AC77" s="193"/>
      <c r="AD77" s="193"/>
      <c r="AE77" s="193"/>
      <c r="AF77" s="193"/>
      <c r="AG77" s="193"/>
      <c r="AH77" s="193"/>
      <c r="AI77" s="193"/>
      <c r="AJ77" s="193"/>
      <c r="AK77" s="193"/>
      <c r="AL77" s="193"/>
      <c r="AM77" s="193"/>
      <c r="AN77" s="193"/>
      <c r="AO77" s="193"/>
      <c r="AP77" s="193"/>
      <c r="AQ77" s="193"/>
      <c r="AR77" s="193"/>
      <c r="AS77" s="193"/>
      <c r="AT77" s="193"/>
      <c r="AU77" s="193"/>
      <c r="AV77" s="193"/>
      <c r="AW77" s="193"/>
      <c r="AX77" s="193"/>
      <c r="AY77" s="193"/>
      <c r="AZ77" s="193"/>
      <c r="BA77" s="193"/>
      <c r="BB77" s="193"/>
      <c r="BC77" s="193"/>
      <c r="BD77" s="193"/>
      <c r="BE77" s="193"/>
      <c r="BF77" s="193"/>
      <c r="BG77" s="193"/>
      <c r="BH77" s="193"/>
      <c r="BI77" s="193"/>
      <c r="BJ77" s="193"/>
      <c r="BK77" s="193"/>
      <c r="BL77" s="193"/>
      <c r="BM77" s="193"/>
      <c r="BN77" s="193"/>
      <c r="BO77" s="193"/>
      <c r="BP77" s="193"/>
      <c r="BQ77" s="193"/>
      <c r="BR77" s="193"/>
      <c r="BS77" s="193"/>
      <c r="BT77" s="193"/>
      <c r="BU77" s="193"/>
      <c r="BV77" s="193"/>
      <c r="BW77" s="193"/>
      <c r="BX77" s="193"/>
      <c r="BY77" s="193"/>
      <c r="BZ77" s="193"/>
      <c r="CA77" s="193"/>
      <c r="CB77" s="193"/>
      <c r="CC77" s="193"/>
      <c r="CD77" s="193"/>
      <c r="CE77" s="193"/>
      <c r="CF77" s="193"/>
      <c r="CG77" s="193"/>
      <c r="CH77" s="193"/>
      <c r="CI77" s="193"/>
      <c r="CJ77" s="193"/>
      <c r="CK77" s="193"/>
      <c r="CL77" s="193"/>
      <c r="CM77" s="193"/>
      <c r="CN77" s="193"/>
      <c r="CO77" s="193"/>
      <c r="CP77" s="193"/>
      <c r="CQ77" s="193"/>
      <c r="CR77" s="193"/>
      <c r="CS77" s="193"/>
      <c r="CT77" s="193"/>
      <c r="CU77" s="193"/>
      <c r="CV77" s="193"/>
      <c r="CW77" s="193"/>
      <c r="CX77" s="193"/>
      <c r="CY77" s="193"/>
      <c r="CZ77" s="193"/>
      <c r="DA77" s="193"/>
      <c r="DB77" s="193"/>
      <c r="DC77" s="193"/>
      <c r="DD77" s="193"/>
      <c r="DE77" s="193"/>
      <c r="DF77" s="193"/>
      <c r="DG77" s="193"/>
      <c r="DH77" s="193"/>
      <c r="DI77" s="193"/>
      <c r="DJ77" s="193"/>
      <c r="DK77" s="193"/>
      <c r="DL77" s="193"/>
      <c r="DM77" s="193"/>
      <c r="DN77" s="193"/>
      <c r="DO77" s="193"/>
      <c r="DP77" s="193"/>
      <c r="DQ77" s="193"/>
      <c r="DR77" s="193"/>
      <c r="DS77" s="193"/>
      <c r="DT77" s="193"/>
      <c r="DU77" s="193"/>
      <c r="DV77" s="193"/>
      <c r="DW77" s="193"/>
      <c r="DX77" s="193"/>
      <c r="DY77" s="193"/>
      <c r="DZ77" s="193"/>
      <c r="EA77" s="193"/>
      <c r="EB77" s="193"/>
      <c r="EC77" s="193"/>
      <c r="ED77" s="193"/>
      <c r="EE77" s="193"/>
      <c r="EF77" s="193"/>
      <c r="EG77" s="193"/>
      <c r="EH77" s="193"/>
      <c r="EI77" s="193"/>
      <c r="EJ77" s="193"/>
      <c r="EK77" s="193"/>
      <c r="EL77" s="193"/>
      <c r="EM77" s="193"/>
      <c r="EN77" s="193"/>
      <c r="EO77" s="193"/>
      <c r="EP77" s="193"/>
      <c r="EQ77" s="193"/>
      <c r="ER77" s="193"/>
      <c r="ES77" s="193"/>
      <c r="ET77" s="193"/>
      <c r="EU77" s="193"/>
    </row>
    <row r="78" spans="1:151" ht="12.9">
      <c r="A78" s="193"/>
      <c r="B78" s="193"/>
      <c r="C78" s="193"/>
      <c r="D78" s="193"/>
      <c r="E78" s="193"/>
      <c r="F78" s="193"/>
      <c r="G78" s="193"/>
      <c r="H78" s="193"/>
      <c r="I78" s="193"/>
      <c r="J78" s="193"/>
      <c r="K78" s="193"/>
      <c r="L78" s="193"/>
      <c r="M78" s="193"/>
      <c r="N78" s="193"/>
      <c r="O78" s="193"/>
      <c r="P78" s="193"/>
      <c r="Q78" s="193"/>
      <c r="R78" s="193"/>
      <c r="S78" s="193"/>
      <c r="T78" s="193"/>
      <c r="U78" s="193"/>
      <c r="V78" s="193"/>
      <c r="W78" s="193"/>
      <c r="X78" s="193"/>
      <c r="Y78" s="193"/>
      <c r="Z78" s="193"/>
      <c r="AA78" s="193"/>
      <c r="AB78" s="193"/>
      <c r="AC78" s="193"/>
      <c r="AD78" s="193"/>
      <c r="AE78" s="193"/>
      <c r="AF78" s="193"/>
      <c r="AG78" s="193"/>
      <c r="AH78" s="193"/>
      <c r="AI78" s="193"/>
      <c r="AJ78" s="193"/>
      <c r="AK78" s="193"/>
      <c r="AL78" s="193"/>
      <c r="AM78" s="193"/>
      <c r="AN78" s="193"/>
      <c r="AO78" s="193"/>
      <c r="AP78" s="193"/>
      <c r="AQ78" s="193"/>
      <c r="AR78" s="193"/>
      <c r="AS78" s="193"/>
      <c r="AT78" s="193"/>
      <c r="AU78" s="193"/>
      <c r="AV78" s="193"/>
      <c r="AW78" s="193"/>
      <c r="AX78" s="193"/>
      <c r="AY78" s="193"/>
      <c r="AZ78" s="193"/>
      <c r="BA78" s="193"/>
      <c r="BB78" s="193"/>
      <c r="BC78" s="193"/>
      <c r="BD78" s="193"/>
      <c r="BE78" s="193"/>
      <c r="BF78" s="193"/>
      <c r="BG78" s="193"/>
      <c r="BH78" s="193"/>
      <c r="BI78" s="193"/>
      <c r="BJ78" s="193"/>
      <c r="BK78" s="193"/>
      <c r="BL78" s="193"/>
      <c r="BM78" s="193"/>
      <c r="BN78" s="193"/>
      <c r="BO78" s="193"/>
      <c r="BP78" s="193"/>
      <c r="BQ78" s="193"/>
      <c r="BR78" s="193"/>
      <c r="BS78" s="193"/>
      <c r="BT78" s="193"/>
      <c r="BU78" s="193"/>
      <c r="BV78" s="193"/>
      <c r="BW78" s="193"/>
      <c r="BX78" s="193"/>
      <c r="BY78" s="193"/>
      <c r="BZ78" s="193"/>
      <c r="CA78" s="193"/>
      <c r="CB78" s="193"/>
      <c r="CC78" s="193"/>
      <c r="CD78" s="193"/>
      <c r="CE78" s="193"/>
      <c r="CF78" s="193"/>
      <c r="CG78" s="193"/>
      <c r="CH78" s="193"/>
      <c r="CI78" s="193"/>
      <c r="CJ78" s="193"/>
      <c r="CK78" s="193"/>
      <c r="CL78" s="193"/>
      <c r="CM78" s="193"/>
      <c r="CN78" s="193"/>
      <c r="CO78" s="193"/>
      <c r="CP78" s="193"/>
      <c r="CQ78" s="193"/>
      <c r="CR78" s="193"/>
      <c r="CS78" s="193"/>
      <c r="CT78" s="193"/>
      <c r="CU78" s="193"/>
      <c r="CV78" s="193"/>
      <c r="CW78" s="193"/>
      <c r="CX78" s="193"/>
      <c r="CY78" s="193"/>
      <c r="CZ78" s="193"/>
      <c r="DA78" s="193"/>
      <c r="DB78" s="193"/>
      <c r="DC78" s="193"/>
      <c r="DD78" s="193"/>
      <c r="DE78" s="193"/>
      <c r="DF78" s="193"/>
      <c r="DG78" s="193"/>
      <c r="DH78" s="193"/>
      <c r="DI78" s="193"/>
      <c r="DJ78" s="193"/>
      <c r="DK78" s="193"/>
      <c r="DL78" s="193"/>
      <c r="DM78" s="193"/>
      <c r="DN78" s="193"/>
      <c r="DO78" s="193"/>
      <c r="DP78" s="193"/>
      <c r="DQ78" s="193"/>
      <c r="DR78" s="193"/>
      <c r="DS78" s="193"/>
      <c r="DT78" s="193"/>
      <c r="DU78" s="193"/>
      <c r="DV78" s="193"/>
      <c r="DW78" s="193"/>
      <c r="DX78" s="193"/>
      <c r="DY78" s="193"/>
      <c r="DZ78" s="193"/>
      <c r="EA78" s="193"/>
      <c r="EB78" s="193"/>
      <c r="EC78" s="193"/>
      <c r="ED78" s="193"/>
      <c r="EE78" s="536"/>
      <c r="EF78" s="193"/>
      <c r="EG78" s="193"/>
      <c r="EH78" s="193"/>
      <c r="EI78" s="193"/>
      <c r="EJ78" s="645"/>
      <c r="EK78" s="193"/>
      <c r="EL78" s="193"/>
      <c r="EM78" s="193"/>
      <c r="EN78" s="193"/>
      <c r="EO78" s="193"/>
      <c r="EP78" s="193"/>
      <c r="EQ78" s="193"/>
      <c r="ER78" s="193"/>
      <c r="ES78" s="193"/>
      <c r="ET78" s="193"/>
      <c r="EU78" s="193"/>
    </row>
    <row r="79" spans="1:151" ht="12.9">
      <c r="A79" s="193"/>
      <c r="B79" s="193"/>
      <c r="C79" s="193"/>
      <c r="D79" s="193"/>
      <c r="E79" s="193"/>
      <c r="F79" s="193"/>
      <c r="G79" s="193"/>
      <c r="H79" s="193"/>
      <c r="I79" s="193"/>
      <c r="J79" s="193"/>
      <c r="K79" s="193"/>
      <c r="L79" s="193"/>
      <c r="M79" s="193"/>
      <c r="N79" s="193"/>
      <c r="O79" s="193"/>
      <c r="P79" s="193"/>
      <c r="Q79" s="193"/>
      <c r="R79" s="193"/>
      <c r="S79" s="193"/>
      <c r="T79" s="193"/>
      <c r="U79" s="193"/>
      <c r="V79" s="193"/>
      <c r="W79" s="193"/>
      <c r="X79" s="193"/>
      <c r="Y79" s="193"/>
      <c r="Z79" s="193"/>
      <c r="AA79" s="193"/>
      <c r="AB79" s="193"/>
      <c r="AC79" s="193"/>
      <c r="AD79" s="193"/>
      <c r="AE79" s="193"/>
      <c r="AF79" s="193"/>
      <c r="AG79" s="193"/>
      <c r="AH79" s="193"/>
      <c r="AI79" s="193"/>
      <c r="AJ79" s="193"/>
      <c r="AK79" s="193"/>
      <c r="AL79" s="193"/>
      <c r="AM79" s="193"/>
      <c r="AN79" s="193"/>
      <c r="AO79" s="193"/>
      <c r="AP79" s="193"/>
      <c r="AQ79" s="193"/>
      <c r="AR79" s="193"/>
      <c r="AS79" s="193"/>
      <c r="AT79" s="193"/>
      <c r="AU79" s="193"/>
      <c r="AV79" s="193"/>
      <c r="AW79" s="193"/>
      <c r="AX79" s="193"/>
      <c r="AY79" s="193"/>
      <c r="AZ79" s="193"/>
      <c r="BA79" s="193"/>
      <c r="BB79" s="193"/>
      <c r="BC79" s="193"/>
      <c r="BD79" s="193"/>
      <c r="BE79" s="193"/>
      <c r="BF79" s="193"/>
      <c r="BG79" s="193"/>
      <c r="BH79" s="193"/>
      <c r="BI79" s="193"/>
      <c r="BJ79" s="193"/>
      <c r="BK79" s="193"/>
      <c r="BL79" s="193"/>
      <c r="BM79" s="193"/>
      <c r="BN79" s="193"/>
      <c r="BO79" s="193"/>
      <c r="BP79" s="193"/>
      <c r="BQ79" s="193"/>
      <c r="BR79" s="193"/>
      <c r="BS79" s="193"/>
      <c r="BT79" s="193"/>
      <c r="BU79" s="193"/>
      <c r="BV79" s="193"/>
      <c r="BW79" s="193"/>
      <c r="BX79" s="193"/>
      <c r="BY79" s="193"/>
      <c r="BZ79" s="193"/>
      <c r="CA79" s="193"/>
      <c r="CB79" s="193"/>
      <c r="CC79" s="193"/>
      <c r="CD79" s="193"/>
      <c r="CE79" s="193"/>
      <c r="CF79" s="193"/>
      <c r="CG79" s="193"/>
      <c r="CH79" s="193"/>
      <c r="CI79" s="193"/>
      <c r="CJ79" s="193"/>
      <c r="CK79" s="193"/>
      <c r="CL79" s="193"/>
      <c r="CM79" s="193"/>
      <c r="CN79" s="193"/>
      <c r="CO79" s="193"/>
      <c r="CP79" s="193"/>
      <c r="CQ79" s="193"/>
      <c r="CR79" s="193"/>
      <c r="CS79" s="193"/>
      <c r="CT79" s="193"/>
      <c r="CU79" s="193"/>
      <c r="CV79" s="193"/>
      <c r="CW79" s="193"/>
      <c r="CX79" s="193"/>
      <c r="CY79" s="193"/>
      <c r="CZ79" s="193"/>
      <c r="DA79" s="193"/>
      <c r="DB79" s="193"/>
      <c r="DC79" s="193"/>
      <c r="DD79" s="193"/>
      <c r="DE79" s="193"/>
      <c r="DF79" s="193"/>
      <c r="DG79" s="193"/>
      <c r="DH79" s="193"/>
      <c r="DI79" s="193"/>
      <c r="DJ79" s="193"/>
      <c r="DK79" s="193"/>
      <c r="DL79" s="193"/>
      <c r="DM79" s="193"/>
      <c r="DN79" s="193"/>
      <c r="DO79" s="193"/>
      <c r="DP79" s="193"/>
      <c r="DQ79" s="193"/>
      <c r="DR79" s="193"/>
      <c r="DS79" s="193"/>
      <c r="DT79" s="193"/>
      <c r="DU79" s="193"/>
      <c r="DV79" s="193"/>
      <c r="DW79" s="193"/>
      <c r="DX79" s="193"/>
      <c r="DY79" s="193"/>
      <c r="DZ79" s="193"/>
      <c r="EA79" s="193"/>
      <c r="EB79" s="193"/>
      <c r="EC79" s="193"/>
      <c r="ED79" s="193"/>
      <c r="EE79" s="193"/>
      <c r="EF79" s="193"/>
      <c r="EG79" s="193"/>
      <c r="EH79" s="193"/>
      <c r="EI79" s="193"/>
      <c r="EJ79" s="193"/>
      <c r="EK79" s="193"/>
      <c r="EL79" s="193"/>
      <c r="EM79" s="193"/>
      <c r="EN79" s="193"/>
      <c r="EO79" s="193"/>
      <c r="EP79" s="193"/>
      <c r="EQ79" s="193"/>
      <c r="ER79" s="193"/>
      <c r="ES79" s="193"/>
      <c r="ET79" s="193"/>
      <c r="EU79" s="193"/>
    </row>
    <row r="80" spans="1:151" ht="12.9">
      <c r="A80" s="193"/>
      <c r="B80" s="193"/>
      <c r="C80" s="193"/>
      <c r="D80" s="193"/>
      <c r="E80" s="193"/>
      <c r="F80" s="193"/>
      <c r="G80" s="193"/>
      <c r="H80" s="193"/>
      <c r="I80" s="193"/>
      <c r="J80" s="193"/>
      <c r="K80" s="193"/>
      <c r="L80" s="193"/>
      <c r="M80" s="193"/>
      <c r="N80" s="193"/>
      <c r="O80" s="193"/>
      <c r="P80" s="193"/>
      <c r="Q80" s="193"/>
      <c r="R80" s="193"/>
      <c r="S80" s="193"/>
      <c r="T80" s="193"/>
      <c r="U80" s="193"/>
      <c r="V80" s="193"/>
      <c r="W80" s="193"/>
      <c r="X80" s="193"/>
      <c r="Y80" s="193"/>
      <c r="Z80" s="193"/>
      <c r="AA80" s="193"/>
      <c r="AB80" s="193"/>
      <c r="AC80" s="193"/>
      <c r="AD80" s="193"/>
      <c r="AE80" s="193"/>
      <c r="AF80" s="193"/>
      <c r="AG80" s="193"/>
      <c r="AH80" s="193"/>
      <c r="AI80" s="193"/>
      <c r="AJ80" s="193"/>
      <c r="AK80" s="193"/>
      <c r="AL80" s="193"/>
      <c r="AM80" s="193"/>
      <c r="AN80" s="193"/>
      <c r="AO80" s="193"/>
      <c r="AP80" s="193"/>
      <c r="AQ80" s="193"/>
      <c r="AR80" s="193"/>
      <c r="AS80" s="193"/>
      <c r="AT80" s="193"/>
      <c r="AU80" s="193"/>
      <c r="AV80" s="193"/>
      <c r="AW80" s="193"/>
      <c r="AX80" s="193"/>
      <c r="AY80" s="193"/>
      <c r="AZ80" s="193"/>
      <c r="BA80" s="193"/>
      <c r="BB80" s="193"/>
      <c r="BC80" s="193"/>
      <c r="BD80" s="193"/>
      <c r="BE80" s="193"/>
      <c r="BF80" s="193"/>
      <c r="BG80" s="193"/>
      <c r="BH80" s="193"/>
      <c r="BI80" s="193"/>
      <c r="BJ80" s="193"/>
      <c r="BK80" s="193"/>
      <c r="BL80" s="193"/>
      <c r="BM80" s="193"/>
      <c r="BN80" s="193"/>
      <c r="BO80" s="193"/>
      <c r="BP80" s="193"/>
      <c r="BQ80" s="193"/>
      <c r="BR80" s="193"/>
      <c r="BS80" s="193"/>
      <c r="BT80" s="193"/>
      <c r="BU80" s="193"/>
      <c r="BV80" s="193"/>
      <c r="BW80" s="193"/>
      <c r="BX80" s="193"/>
      <c r="BY80" s="193"/>
      <c r="BZ80" s="193"/>
      <c r="CA80" s="193"/>
      <c r="CB80" s="193"/>
      <c r="CC80" s="193"/>
      <c r="CD80" s="193"/>
      <c r="CE80" s="193"/>
      <c r="CF80" s="193"/>
      <c r="CG80" s="193"/>
      <c r="CH80" s="193"/>
      <c r="CI80" s="193"/>
      <c r="CJ80" s="193"/>
      <c r="CK80" s="193"/>
      <c r="CL80" s="193"/>
      <c r="CM80" s="193"/>
      <c r="CN80" s="193"/>
      <c r="CO80" s="193"/>
      <c r="CP80" s="193"/>
      <c r="CQ80" s="193"/>
      <c r="CR80" s="193"/>
      <c r="CS80" s="193"/>
      <c r="CT80" s="193"/>
      <c r="CU80" s="193"/>
      <c r="CV80" s="193"/>
      <c r="CW80" s="193"/>
      <c r="CX80" s="193"/>
      <c r="CY80" s="193"/>
      <c r="CZ80" s="193"/>
      <c r="DA80" s="193"/>
      <c r="DB80" s="193"/>
      <c r="DC80" s="193"/>
      <c r="DD80" s="193"/>
      <c r="DE80" s="193"/>
      <c r="DF80" s="193"/>
      <c r="DG80" s="193"/>
      <c r="DH80" s="193"/>
      <c r="DI80" s="193"/>
      <c r="DJ80" s="193"/>
      <c r="DK80" s="193"/>
      <c r="DL80" s="193"/>
      <c r="DM80" s="193"/>
      <c r="DN80" s="193"/>
      <c r="DO80" s="193"/>
      <c r="DP80" s="193"/>
      <c r="DQ80" s="193"/>
      <c r="DR80" s="193"/>
      <c r="DS80" s="193"/>
      <c r="DT80" s="193"/>
      <c r="DU80" s="193"/>
      <c r="DV80" s="193"/>
      <c r="DW80" s="193"/>
      <c r="DX80" s="193"/>
      <c r="DY80" s="193"/>
      <c r="DZ80" s="193"/>
      <c r="EA80" s="193"/>
      <c r="EB80" s="193"/>
      <c r="EC80" s="193"/>
      <c r="ED80" s="193"/>
      <c r="EE80" s="536"/>
      <c r="EF80" s="193"/>
      <c r="EG80" s="193"/>
      <c r="EH80" s="193"/>
      <c r="EI80" s="193"/>
      <c r="EJ80" s="645"/>
      <c r="EK80" s="193"/>
      <c r="EL80" s="193"/>
      <c r="EM80" s="193"/>
      <c r="EN80" s="193"/>
      <c r="EO80" s="193"/>
      <c r="EP80" s="193"/>
      <c r="EQ80" s="193"/>
      <c r="ER80" s="193"/>
      <c r="ES80" s="193"/>
      <c r="ET80" s="193"/>
      <c r="EU80" s="193"/>
    </row>
    <row r="81" spans="1:151" ht="12.9">
      <c r="A81" s="193"/>
      <c r="B81" s="193"/>
      <c r="C81" s="193"/>
      <c r="D81" s="193"/>
      <c r="E81" s="193"/>
      <c r="F81" s="193"/>
      <c r="G81" s="193"/>
      <c r="H81" s="193"/>
      <c r="I81" s="193"/>
      <c r="J81" s="193"/>
      <c r="K81" s="193"/>
      <c r="L81" s="193"/>
      <c r="M81" s="193"/>
      <c r="N81" s="193"/>
      <c r="O81" s="193"/>
      <c r="P81" s="193"/>
      <c r="Q81" s="193"/>
      <c r="R81" s="193"/>
      <c r="S81" s="193"/>
      <c r="T81" s="193"/>
      <c r="U81" s="193"/>
      <c r="V81" s="193"/>
      <c r="W81" s="193"/>
      <c r="X81" s="193"/>
      <c r="Y81" s="193"/>
      <c r="Z81" s="193"/>
      <c r="AA81" s="193"/>
      <c r="AB81" s="193"/>
      <c r="AC81" s="193"/>
      <c r="AD81" s="193"/>
      <c r="AE81" s="193"/>
      <c r="AF81" s="193"/>
      <c r="AG81" s="193"/>
      <c r="AH81" s="193"/>
      <c r="AI81" s="193"/>
      <c r="AJ81" s="193"/>
      <c r="AK81" s="193"/>
      <c r="AL81" s="193"/>
      <c r="AM81" s="193"/>
      <c r="AN81" s="193"/>
      <c r="AO81" s="193"/>
      <c r="AP81" s="193"/>
      <c r="AQ81" s="193"/>
      <c r="AR81" s="193"/>
      <c r="AS81" s="193"/>
      <c r="AT81" s="193"/>
      <c r="AU81" s="193"/>
      <c r="AV81" s="193"/>
      <c r="AW81" s="193"/>
      <c r="AX81" s="193"/>
      <c r="AY81" s="193"/>
      <c r="AZ81" s="193"/>
      <c r="BA81" s="193"/>
      <c r="BB81" s="193"/>
      <c r="BC81" s="193"/>
      <c r="BD81" s="193"/>
      <c r="BE81" s="193"/>
      <c r="BF81" s="193"/>
      <c r="BG81" s="193"/>
      <c r="BH81" s="193"/>
      <c r="BI81" s="193"/>
      <c r="BJ81" s="193"/>
      <c r="BK81" s="193"/>
      <c r="BL81" s="193"/>
      <c r="BM81" s="193"/>
      <c r="BN81" s="193"/>
      <c r="BO81" s="193"/>
      <c r="BP81" s="193"/>
      <c r="BQ81" s="193"/>
      <c r="BR81" s="193"/>
      <c r="BS81" s="193"/>
      <c r="BT81" s="193"/>
      <c r="BU81" s="193"/>
      <c r="BV81" s="193"/>
      <c r="BW81" s="193"/>
      <c r="BX81" s="193"/>
      <c r="BY81" s="193"/>
      <c r="BZ81" s="193"/>
      <c r="CA81" s="193"/>
      <c r="CB81" s="193"/>
      <c r="CC81" s="193"/>
      <c r="CD81" s="193"/>
      <c r="CE81" s="193"/>
      <c r="CF81" s="193"/>
      <c r="CG81" s="193"/>
      <c r="CH81" s="193"/>
      <c r="CI81" s="193"/>
      <c r="CJ81" s="193"/>
      <c r="CK81" s="193"/>
      <c r="CL81" s="193"/>
      <c r="CM81" s="193"/>
      <c r="CN81" s="193"/>
      <c r="CO81" s="193"/>
      <c r="CP81" s="193"/>
      <c r="CQ81" s="193"/>
      <c r="CR81" s="193"/>
      <c r="CS81" s="193"/>
      <c r="CT81" s="193"/>
      <c r="CU81" s="193"/>
      <c r="CV81" s="193"/>
      <c r="CW81" s="193"/>
      <c r="CX81" s="193"/>
      <c r="CY81" s="193"/>
      <c r="CZ81" s="193"/>
      <c r="DA81" s="193"/>
      <c r="DB81" s="193"/>
      <c r="DC81" s="193"/>
      <c r="DD81" s="193"/>
      <c r="DE81" s="193"/>
      <c r="DF81" s="193"/>
      <c r="DG81" s="193"/>
      <c r="DH81" s="193"/>
      <c r="DI81" s="193"/>
      <c r="DJ81" s="193"/>
      <c r="DK81" s="193"/>
      <c r="DL81" s="193"/>
      <c r="DM81" s="193"/>
      <c r="DN81" s="193"/>
      <c r="DO81" s="193"/>
      <c r="DP81" s="193"/>
      <c r="DQ81" s="193"/>
      <c r="DR81" s="193"/>
      <c r="DS81" s="193"/>
      <c r="DT81" s="193"/>
      <c r="DU81" s="193"/>
      <c r="DV81" s="193"/>
      <c r="DW81" s="193"/>
      <c r="DX81" s="193"/>
      <c r="DY81" s="193"/>
      <c r="DZ81" s="193"/>
      <c r="EA81" s="193"/>
      <c r="EB81" s="193"/>
      <c r="EC81" s="193"/>
      <c r="ED81" s="193"/>
      <c r="EE81" s="193"/>
      <c r="EF81" s="193"/>
      <c r="EG81" s="193"/>
      <c r="EH81" s="193"/>
      <c r="EI81" s="193"/>
      <c r="EJ81" s="193"/>
      <c r="EK81" s="193"/>
      <c r="EL81" s="193"/>
      <c r="EM81" s="193"/>
      <c r="EN81" s="193"/>
      <c r="EO81" s="193"/>
      <c r="EP81" s="193"/>
      <c r="EQ81" s="193"/>
      <c r="ER81" s="193"/>
      <c r="ES81" s="193"/>
      <c r="ET81" s="193"/>
      <c r="EU81" s="193"/>
    </row>
    <row r="82" spans="1:151" ht="12.9">
      <c r="A82" s="193"/>
      <c r="B82" s="193"/>
      <c r="C82" s="193"/>
      <c r="D82" s="193"/>
      <c r="E82" s="193"/>
      <c r="F82" s="193"/>
      <c r="G82" s="193"/>
      <c r="H82" s="193"/>
      <c r="I82" s="193"/>
      <c r="J82" s="193"/>
      <c r="K82" s="193"/>
      <c r="L82" s="193"/>
      <c r="M82" s="193"/>
      <c r="N82" s="193"/>
      <c r="O82" s="193"/>
      <c r="P82" s="193"/>
      <c r="Q82" s="193"/>
      <c r="R82" s="193"/>
      <c r="S82" s="193"/>
      <c r="T82" s="193"/>
      <c r="U82" s="193"/>
      <c r="V82" s="193"/>
      <c r="W82" s="193"/>
      <c r="X82" s="193"/>
      <c r="Y82" s="193"/>
      <c r="Z82" s="193"/>
      <c r="AA82" s="193"/>
      <c r="AB82" s="193"/>
      <c r="AC82" s="193"/>
      <c r="AD82" s="193"/>
      <c r="AE82" s="193"/>
      <c r="AF82" s="193"/>
      <c r="AG82" s="193"/>
      <c r="AH82" s="193"/>
      <c r="AI82" s="193"/>
      <c r="AJ82" s="193"/>
      <c r="AK82" s="193"/>
      <c r="AL82" s="193"/>
      <c r="AM82" s="193"/>
      <c r="AN82" s="193"/>
      <c r="AO82" s="193"/>
      <c r="AP82" s="193"/>
      <c r="AQ82" s="193"/>
      <c r="AR82" s="193"/>
      <c r="AS82" s="193"/>
      <c r="AT82" s="193"/>
      <c r="AU82" s="193"/>
      <c r="AV82" s="193"/>
      <c r="AW82" s="193"/>
      <c r="AX82" s="193"/>
      <c r="AY82" s="193"/>
      <c r="AZ82" s="193"/>
      <c r="BA82" s="193"/>
      <c r="BB82" s="193"/>
      <c r="BC82" s="193"/>
      <c r="BD82" s="193"/>
      <c r="BE82" s="193"/>
      <c r="BF82" s="193"/>
      <c r="BG82" s="193"/>
      <c r="BH82" s="193"/>
      <c r="BI82" s="193"/>
      <c r="BJ82" s="193"/>
      <c r="BK82" s="193"/>
      <c r="BL82" s="193"/>
      <c r="BM82" s="193"/>
      <c r="BN82" s="193"/>
      <c r="BO82" s="193"/>
      <c r="BP82" s="193"/>
      <c r="BQ82" s="193"/>
      <c r="BR82" s="193"/>
      <c r="BS82" s="193"/>
      <c r="BT82" s="193"/>
      <c r="BU82" s="193"/>
      <c r="BV82" s="193"/>
      <c r="BW82" s="193"/>
      <c r="BX82" s="193"/>
      <c r="BY82" s="193"/>
      <c r="BZ82" s="193"/>
      <c r="CA82" s="193"/>
      <c r="CB82" s="193"/>
      <c r="CC82" s="193"/>
      <c r="CD82" s="193"/>
      <c r="CE82" s="193"/>
      <c r="CF82" s="193"/>
      <c r="CG82" s="193"/>
      <c r="CH82" s="193"/>
      <c r="CI82" s="193"/>
      <c r="CJ82" s="193"/>
      <c r="CK82" s="193"/>
      <c r="CL82" s="193"/>
      <c r="CM82" s="193"/>
      <c r="CN82" s="193"/>
      <c r="CO82" s="193"/>
      <c r="CP82" s="193"/>
      <c r="CQ82" s="193"/>
      <c r="CR82" s="193"/>
      <c r="CS82" s="193"/>
      <c r="CT82" s="193"/>
      <c r="CU82" s="193"/>
      <c r="CV82" s="193"/>
      <c r="CW82" s="193"/>
      <c r="CX82" s="193"/>
      <c r="CY82" s="193"/>
      <c r="CZ82" s="193"/>
      <c r="DA82" s="193"/>
      <c r="DB82" s="193"/>
      <c r="DC82" s="193"/>
      <c r="DD82" s="193"/>
      <c r="DE82" s="193"/>
      <c r="DF82" s="193"/>
      <c r="DG82" s="193"/>
      <c r="DH82" s="193"/>
      <c r="DI82" s="193"/>
      <c r="DJ82" s="193"/>
      <c r="DK82" s="193"/>
      <c r="DL82" s="193"/>
      <c r="DM82" s="193"/>
      <c r="DN82" s="193"/>
      <c r="DO82" s="193"/>
      <c r="DP82" s="193"/>
      <c r="DQ82" s="193"/>
      <c r="DR82" s="193"/>
      <c r="DS82" s="193"/>
      <c r="DT82" s="193"/>
      <c r="DU82" s="193"/>
      <c r="DV82" s="193"/>
      <c r="DW82" s="193"/>
      <c r="DX82" s="193"/>
      <c r="DY82" s="193"/>
      <c r="DZ82" s="193"/>
      <c r="EA82" s="193"/>
      <c r="EB82" s="193"/>
      <c r="EC82" s="193"/>
      <c r="ED82" s="193"/>
      <c r="EE82" s="536"/>
      <c r="EF82" s="193"/>
      <c r="EG82" s="193"/>
      <c r="EH82" s="193"/>
      <c r="EI82" s="193"/>
      <c r="EJ82" s="645"/>
      <c r="EK82" s="193"/>
      <c r="EL82" s="193"/>
      <c r="EM82" s="193"/>
      <c r="EN82" s="193"/>
      <c r="EO82" s="193"/>
      <c r="EP82" s="193"/>
      <c r="EQ82" s="193"/>
      <c r="ER82" s="193"/>
      <c r="ES82" s="193"/>
      <c r="ET82" s="193"/>
      <c r="EU82" s="193"/>
    </row>
    <row r="83" spans="1:151" ht="12.9">
      <c r="A83" s="193"/>
      <c r="B83" s="193"/>
      <c r="C83" s="193"/>
      <c r="D83" s="193"/>
      <c r="E83" s="193"/>
      <c r="F83" s="193"/>
      <c r="G83" s="193"/>
      <c r="H83" s="193"/>
      <c r="I83" s="193"/>
      <c r="J83" s="193"/>
      <c r="K83" s="193"/>
      <c r="L83" s="193"/>
      <c r="M83" s="193"/>
      <c r="N83" s="193"/>
      <c r="O83" s="193"/>
      <c r="P83" s="193"/>
      <c r="Q83" s="193"/>
      <c r="R83" s="193"/>
      <c r="S83" s="193"/>
      <c r="T83" s="193"/>
      <c r="U83" s="193"/>
      <c r="V83" s="193"/>
      <c r="W83" s="193"/>
      <c r="X83" s="193"/>
      <c r="Y83" s="193"/>
      <c r="Z83" s="193"/>
      <c r="AA83" s="193"/>
      <c r="AB83" s="193"/>
      <c r="AC83" s="193"/>
      <c r="AD83" s="193"/>
      <c r="AE83" s="193"/>
      <c r="AF83" s="193"/>
      <c r="AG83" s="193"/>
      <c r="AH83" s="193"/>
      <c r="AI83" s="193"/>
      <c r="AJ83" s="193"/>
      <c r="AK83" s="193"/>
      <c r="AL83" s="193"/>
      <c r="AM83" s="193"/>
      <c r="AN83" s="193"/>
      <c r="AO83" s="193"/>
      <c r="AP83" s="193"/>
      <c r="AQ83" s="193"/>
      <c r="AR83" s="193"/>
      <c r="AS83" s="193"/>
      <c r="AT83" s="193"/>
      <c r="AU83" s="193"/>
      <c r="AV83" s="193"/>
      <c r="AW83" s="193"/>
      <c r="AX83" s="193"/>
      <c r="AY83" s="193"/>
      <c r="AZ83" s="193"/>
      <c r="BA83" s="193"/>
      <c r="BB83" s="193"/>
      <c r="BC83" s="193"/>
      <c r="BD83" s="193"/>
      <c r="BE83" s="193"/>
      <c r="BF83" s="193"/>
      <c r="BG83" s="193"/>
      <c r="BH83" s="193"/>
      <c r="BI83" s="193"/>
      <c r="BJ83" s="193"/>
      <c r="BK83" s="193"/>
      <c r="BL83" s="193"/>
      <c r="BM83" s="193"/>
      <c r="BN83" s="193"/>
      <c r="BO83" s="193"/>
      <c r="BP83" s="193"/>
      <c r="BQ83" s="193"/>
      <c r="BR83" s="193"/>
      <c r="BS83" s="193"/>
      <c r="BT83" s="193"/>
      <c r="BU83" s="193"/>
      <c r="BV83" s="193"/>
      <c r="BW83" s="193"/>
      <c r="BX83" s="193"/>
      <c r="BY83" s="193"/>
      <c r="BZ83" s="193"/>
      <c r="CA83" s="193"/>
      <c r="CB83" s="193"/>
      <c r="CC83" s="193"/>
      <c r="CD83" s="193"/>
      <c r="CE83" s="193"/>
      <c r="CF83" s="193"/>
      <c r="CG83" s="193"/>
      <c r="CH83" s="193"/>
      <c r="CI83" s="193"/>
      <c r="CJ83" s="193"/>
      <c r="CK83" s="193"/>
      <c r="CL83" s="193"/>
      <c r="CM83" s="193"/>
      <c r="CN83" s="193"/>
      <c r="CO83" s="193"/>
      <c r="CP83" s="193"/>
      <c r="CQ83" s="193"/>
      <c r="CR83" s="193"/>
      <c r="CS83" s="193"/>
      <c r="CT83" s="193"/>
      <c r="CU83" s="193"/>
      <c r="CV83" s="193"/>
      <c r="CW83" s="193"/>
      <c r="CX83" s="193"/>
      <c r="CY83" s="193"/>
      <c r="CZ83" s="193"/>
      <c r="DA83" s="193"/>
      <c r="DB83" s="193"/>
      <c r="DC83" s="193"/>
      <c r="DD83" s="193"/>
      <c r="DE83" s="193"/>
      <c r="DF83" s="193"/>
      <c r="DG83" s="193"/>
      <c r="DH83" s="193"/>
      <c r="DI83" s="193"/>
      <c r="DJ83" s="193"/>
      <c r="DK83" s="193"/>
      <c r="DL83" s="193"/>
      <c r="DM83" s="193"/>
      <c r="DN83" s="193"/>
      <c r="DO83" s="193"/>
      <c r="DP83" s="193"/>
      <c r="DQ83" s="193"/>
      <c r="DR83" s="193"/>
      <c r="DS83" s="193"/>
      <c r="DT83" s="193"/>
      <c r="DU83" s="193"/>
      <c r="DV83" s="193"/>
      <c r="DW83" s="193"/>
      <c r="DX83" s="193"/>
      <c r="DY83" s="193"/>
      <c r="DZ83" s="193"/>
      <c r="EA83" s="193"/>
      <c r="EB83" s="193"/>
      <c r="EC83" s="193"/>
      <c r="ED83" s="193"/>
      <c r="EE83" s="193"/>
      <c r="EF83" s="193"/>
      <c r="EG83" s="193"/>
      <c r="EH83" s="193"/>
      <c r="EI83" s="193"/>
      <c r="EJ83" s="193"/>
      <c r="EK83" s="193"/>
      <c r="EL83" s="193"/>
      <c r="EM83" s="193"/>
      <c r="EN83" s="193"/>
      <c r="EO83" s="193"/>
      <c r="EP83" s="193"/>
      <c r="EQ83" s="193"/>
      <c r="ER83" s="193"/>
      <c r="ES83" s="193"/>
      <c r="ET83" s="193"/>
      <c r="EU83" s="193"/>
    </row>
    <row r="84" spans="1:151" ht="12.9">
      <c r="A84" s="193"/>
      <c r="B84" s="193"/>
      <c r="C84" s="193"/>
      <c r="D84" s="193"/>
      <c r="E84" s="193"/>
      <c r="F84" s="193"/>
      <c r="G84" s="193"/>
      <c r="H84" s="193"/>
      <c r="I84" s="193"/>
      <c r="J84" s="193"/>
      <c r="K84" s="193"/>
      <c r="L84" s="193"/>
      <c r="M84" s="193"/>
      <c r="N84" s="193"/>
      <c r="O84" s="193"/>
      <c r="P84" s="193"/>
      <c r="Q84" s="193"/>
      <c r="R84" s="193"/>
      <c r="S84" s="193"/>
      <c r="T84" s="193"/>
      <c r="U84" s="193"/>
      <c r="V84" s="193"/>
      <c r="W84" s="193"/>
      <c r="X84" s="193"/>
      <c r="Y84" s="193"/>
      <c r="Z84" s="193"/>
      <c r="AA84" s="193"/>
      <c r="AB84" s="193"/>
      <c r="AC84" s="193"/>
      <c r="AD84" s="193"/>
      <c r="AE84" s="193"/>
      <c r="AF84" s="193"/>
      <c r="AG84" s="193"/>
      <c r="AH84" s="193"/>
      <c r="AI84" s="193"/>
      <c r="AJ84" s="193"/>
      <c r="AK84" s="193"/>
      <c r="AL84" s="193"/>
      <c r="AM84" s="193"/>
      <c r="AN84" s="193"/>
      <c r="AO84" s="193"/>
      <c r="AP84" s="193"/>
      <c r="AQ84" s="193"/>
      <c r="AR84" s="193"/>
      <c r="AS84" s="193"/>
      <c r="AT84" s="193"/>
      <c r="AU84" s="193"/>
      <c r="AV84" s="193"/>
      <c r="AW84" s="193"/>
      <c r="AX84" s="193"/>
      <c r="AY84" s="193"/>
      <c r="AZ84" s="193"/>
      <c r="BA84" s="193"/>
      <c r="BB84" s="193"/>
      <c r="BC84" s="193"/>
      <c r="BD84" s="193"/>
      <c r="BE84" s="193"/>
      <c r="BF84" s="193"/>
      <c r="BG84" s="193"/>
      <c r="BH84" s="193"/>
      <c r="BI84" s="193"/>
      <c r="BJ84" s="193"/>
      <c r="BK84" s="193"/>
      <c r="BL84" s="193"/>
      <c r="BM84" s="193"/>
      <c r="BN84" s="193"/>
      <c r="BO84" s="193"/>
      <c r="BP84" s="193"/>
      <c r="BQ84" s="193"/>
      <c r="BR84" s="193"/>
      <c r="BS84" s="193"/>
      <c r="BT84" s="193"/>
      <c r="BU84" s="193"/>
      <c r="BV84" s="193"/>
      <c r="BW84" s="193"/>
      <c r="BX84" s="193"/>
      <c r="BY84" s="193"/>
      <c r="BZ84" s="193"/>
      <c r="CA84" s="193"/>
      <c r="CB84" s="193"/>
      <c r="CC84" s="193"/>
      <c r="CD84" s="193"/>
      <c r="CE84" s="193"/>
      <c r="CF84" s="193"/>
      <c r="CG84" s="193"/>
      <c r="CH84" s="193"/>
      <c r="CI84" s="193"/>
      <c r="CJ84" s="193"/>
      <c r="CK84" s="193"/>
      <c r="CL84" s="193"/>
      <c r="CM84" s="193"/>
      <c r="CN84" s="193"/>
      <c r="CO84" s="193"/>
      <c r="CP84" s="193"/>
      <c r="CQ84" s="193"/>
      <c r="CR84" s="193"/>
      <c r="CS84" s="193"/>
      <c r="CT84" s="193"/>
      <c r="CU84" s="193"/>
      <c r="CV84" s="193"/>
      <c r="CW84" s="193"/>
      <c r="CX84" s="193"/>
      <c r="CY84" s="193"/>
      <c r="CZ84" s="193"/>
      <c r="DA84" s="193"/>
      <c r="DB84" s="193"/>
      <c r="DC84" s="193"/>
      <c r="DD84" s="193"/>
      <c r="DE84" s="193"/>
      <c r="DF84" s="193"/>
      <c r="DG84" s="193"/>
      <c r="DH84" s="193"/>
      <c r="DI84" s="193"/>
      <c r="DJ84" s="193"/>
      <c r="DK84" s="193"/>
      <c r="DL84" s="193"/>
      <c r="DM84" s="193"/>
      <c r="DN84" s="193"/>
      <c r="DO84" s="193"/>
      <c r="DP84" s="193"/>
      <c r="DQ84" s="193"/>
      <c r="DR84" s="193"/>
      <c r="DS84" s="193"/>
      <c r="DT84" s="193"/>
      <c r="DU84" s="193"/>
      <c r="DV84" s="193"/>
      <c r="DW84" s="193"/>
      <c r="DX84" s="193"/>
      <c r="DY84" s="193"/>
      <c r="DZ84" s="193"/>
      <c r="EA84" s="193"/>
      <c r="EB84" s="193"/>
      <c r="EC84" s="193"/>
      <c r="ED84" s="193"/>
      <c r="EE84" s="536"/>
      <c r="EF84" s="193"/>
      <c r="EG84" s="193"/>
      <c r="EH84" s="193"/>
      <c r="EI84" s="193"/>
      <c r="EJ84" s="193"/>
      <c r="EK84" s="193"/>
      <c r="EL84" s="193"/>
      <c r="EM84" s="193"/>
      <c r="EN84" s="193"/>
      <c r="EO84" s="193"/>
      <c r="EP84" s="193"/>
      <c r="EQ84" s="193"/>
      <c r="ER84" s="193"/>
      <c r="ES84" s="193"/>
      <c r="ET84" s="193"/>
      <c r="EU84" s="193"/>
    </row>
    <row r="85" spans="1:151" ht="12.9">
      <c r="A85" s="193"/>
      <c r="B85" s="193"/>
      <c r="C85" s="193"/>
      <c r="D85" s="193"/>
      <c r="E85" s="193"/>
      <c r="F85" s="193"/>
      <c r="G85" s="193"/>
      <c r="H85" s="193"/>
      <c r="I85" s="193"/>
      <c r="J85" s="193"/>
      <c r="K85" s="193"/>
      <c r="L85" s="193"/>
      <c r="M85" s="193"/>
      <c r="N85" s="193"/>
      <c r="O85" s="193"/>
      <c r="P85" s="193"/>
      <c r="Q85" s="193"/>
      <c r="R85" s="193"/>
      <c r="S85" s="193"/>
      <c r="T85" s="193"/>
      <c r="U85" s="193"/>
      <c r="V85" s="193"/>
      <c r="W85" s="193"/>
      <c r="X85" s="193"/>
      <c r="Y85" s="193"/>
      <c r="Z85" s="193"/>
      <c r="AA85" s="193"/>
      <c r="AB85" s="193"/>
      <c r="AC85" s="193"/>
      <c r="AD85" s="193"/>
      <c r="AE85" s="193"/>
      <c r="AF85" s="193"/>
      <c r="AG85" s="193"/>
      <c r="AH85" s="193"/>
      <c r="AI85" s="193"/>
      <c r="AJ85" s="193"/>
      <c r="AK85" s="193"/>
      <c r="AL85" s="193"/>
      <c r="AM85" s="193"/>
      <c r="AN85" s="193"/>
      <c r="AO85" s="193"/>
      <c r="AP85" s="193"/>
      <c r="AQ85" s="193"/>
      <c r="AR85" s="193"/>
      <c r="AS85" s="193"/>
      <c r="AT85" s="193"/>
      <c r="AU85" s="193"/>
      <c r="AV85" s="193"/>
      <c r="AW85" s="193"/>
      <c r="AX85" s="193"/>
      <c r="AY85" s="193"/>
      <c r="AZ85" s="193"/>
      <c r="BA85" s="193"/>
      <c r="BB85" s="193"/>
      <c r="BC85" s="193"/>
      <c r="BD85" s="193"/>
      <c r="BE85" s="193"/>
      <c r="BF85" s="193"/>
      <c r="BG85" s="193"/>
      <c r="BH85" s="193"/>
      <c r="BI85" s="193"/>
      <c r="BJ85" s="193"/>
      <c r="BK85" s="193"/>
      <c r="BL85" s="193"/>
      <c r="BM85" s="193"/>
      <c r="BN85" s="193"/>
      <c r="BO85" s="193"/>
      <c r="BP85" s="193"/>
      <c r="BQ85" s="193"/>
      <c r="BR85" s="193"/>
      <c r="BS85" s="193"/>
      <c r="BT85" s="193"/>
      <c r="BU85" s="193"/>
      <c r="BV85" s="193"/>
      <c r="BW85" s="193"/>
      <c r="BX85" s="193"/>
      <c r="BY85" s="193"/>
      <c r="BZ85" s="193"/>
      <c r="CA85" s="193"/>
      <c r="CB85" s="193"/>
      <c r="CC85" s="193"/>
      <c r="CD85" s="193"/>
      <c r="CE85" s="193"/>
      <c r="CF85" s="193"/>
      <c r="CG85" s="193"/>
      <c r="CH85" s="193"/>
      <c r="CI85" s="193"/>
      <c r="CJ85" s="193"/>
      <c r="CK85" s="193"/>
      <c r="CL85" s="193"/>
      <c r="CM85" s="193"/>
      <c r="CN85" s="193"/>
      <c r="CO85" s="193"/>
      <c r="CP85" s="193"/>
      <c r="CQ85" s="193"/>
      <c r="CR85" s="193"/>
      <c r="CS85" s="193"/>
      <c r="CT85" s="193"/>
      <c r="CU85" s="193"/>
      <c r="CV85" s="193"/>
      <c r="CW85" s="193"/>
      <c r="CX85" s="193"/>
      <c r="CY85" s="193"/>
      <c r="CZ85" s="193"/>
      <c r="DA85" s="193"/>
      <c r="DB85" s="193"/>
      <c r="DC85" s="193"/>
      <c r="DD85" s="193"/>
      <c r="DE85" s="193"/>
      <c r="DF85" s="193"/>
      <c r="DG85" s="193"/>
      <c r="DH85" s="193"/>
      <c r="DI85" s="193"/>
      <c r="DJ85" s="193"/>
      <c r="DK85" s="193"/>
      <c r="DL85" s="193"/>
      <c r="DM85" s="193"/>
      <c r="DN85" s="193"/>
      <c r="DO85" s="193"/>
      <c r="DP85" s="193"/>
      <c r="DQ85" s="193"/>
      <c r="DR85" s="193"/>
      <c r="DS85" s="193"/>
      <c r="DT85" s="193"/>
      <c r="DU85" s="193"/>
      <c r="DV85" s="193"/>
      <c r="DW85" s="193"/>
      <c r="DX85" s="193"/>
      <c r="DY85" s="193"/>
      <c r="DZ85" s="193"/>
      <c r="EA85" s="193"/>
      <c r="EB85" s="193"/>
      <c r="EC85" s="193"/>
      <c r="ED85" s="193"/>
      <c r="EE85" s="193"/>
      <c r="EF85" s="193"/>
      <c r="EG85" s="193"/>
      <c r="EH85" s="193"/>
      <c r="EI85" s="193"/>
      <c r="EJ85" s="193"/>
      <c r="EK85" s="193"/>
      <c r="EL85" s="193"/>
      <c r="EM85" s="193"/>
      <c r="EN85" s="193"/>
      <c r="EO85" s="193"/>
      <c r="EP85" s="193"/>
      <c r="EQ85" s="193"/>
      <c r="ER85" s="193"/>
      <c r="ES85" s="193"/>
      <c r="ET85" s="193"/>
      <c r="EU85" s="193"/>
    </row>
    <row r="86" spans="1:151" ht="12.9">
      <c r="A86" s="193"/>
      <c r="B86" s="193"/>
      <c r="C86" s="193"/>
      <c r="D86" s="193"/>
      <c r="E86" s="193"/>
      <c r="F86" s="193"/>
      <c r="G86" s="193"/>
      <c r="H86" s="193"/>
      <c r="I86" s="193"/>
      <c r="J86" s="193"/>
      <c r="K86" s="193"/>
      <c r="L86" s="193"/>
      <c r="M86" s="193"/>
      <c r="N86" s="193"/>
      <c r="O86" s="193"/>
      <c r="P86" s="193"/>
      <c r="Q86" s="193"/>
      <c r="R86" s="193"/>
      <c r="S86" s="193"/>
      <c r="T86" s="193"/>
      <c r="U86" s="193"/>
      <c r="V86" s="193"/>
      <c r="W86" s="193"/>
      <c r="X86" s="193"/>
      <c r="Y86" s="193"/>
      <c r="Z86" s="193"/>
      <c r="AA86" s="193"/>
      <c r="AB86" s="193"/>
      <c r="AC86" s="193"/>
      <c r="AD86" s="193"/>
      <c r="AE86" s="193"/>
      <c r="AF86" s="193"/>
      <c r="AG86" s="193"/>
      <c r="AH86" s="193"/>
      <c r="AI86" s="193"/>
      <c r="AJ86" s="193"/>
      <c r="AK86" s="193"/>
      <c r="AL86" s="193"/>
      <c r="AM86" s="193"/>
      <c r="AN86" s="193"/>
      <c r="AO86" s="193"/>
      <c r="AP86" s="193"/>
      <c r="AQ86" s="193"/>
      <c r="AR86" s="193"/>
      <c r="AS86" s="193"/>
      <c r="AT86" s="193"/>
      <c r="AU86" s="193"/>
      <c r="AV86" s="193"/>
      <c r="AW86" s="193"/>
      <c r="AX86" s="193"/>
      <c r="AY86" s="193"/>
      <c r="AZ86" s="193"/>
      <c r="BA86" s="193"/>
      <c r="BB86" s="193"/>
      <c r="BC86" s="193"/>
      <c r="BD86" s="193"/>
      <c r="BE86" s="193"/>
      <c r="BF86" s="193"/>
      <c r="BG86" s="193"/>
      <c r="BH86" s="193"/>
      <c r="BI86" s="193"/>
      <c r="BJ86" s="193"/>
      <c r="BK86" s="193"/>
      <c r="BL86" s="193"/>
      <c r="BM86" s="193"/>
      <c r="BN86" s="193"/>
      <c r="BO86" s="193"/>
      <c r="BP86" s="193"/>
      <c r="BQ86" s="193"/>
      <c r="BR86" s="193"/>
      <c r="BS86" s="193"/>
      <c r="BT86" s="193"/>
      <c r="BU86" s="193"/>
      <c r="BV86" s="193"/>
      <c r="BW86" s="193"/>
      <c r="BX86" s="193"/>
      <c r="BY86" s="193"/>
      <c r="BZ86" s="193"/>
      <c r="CA86" s="193"/>
      <c r="CB86" s="193"/>
      <c r="CC86" s="193"/>
      <c r="CD86" s="193"/>
      <c r="CE86" s="193"/>
      <c r="CF86" s="193"/>
      <c r="CG86" s="193"/>
      <c r="CH86" s="193"/>
      <c r="CI86" s="193"/>
      <c r="CJ86" s="193"/>
      <c r="CK86" s="193"/>
      <c r="CL86" s="193"/>
      <c r="CM86" s="193"/>
      <c r="CN86" s="193"/>
      <c r="CO86" s="193"/>
      <c r="CP86" s="193"/>
      <c r="CQ86" s="193"/>
      <c r="CR86" s="193"/>
      <c r="CS86" s="193"/>
      <c r="CT86" s="193"/>
      <c r="CU86" s="193"/>
      <c r="CV86" s="193"/>
      <c r="CW86" s="193"/>
      <c r="CX86" s="193"/>
      <c r="CY86" s="193"/>
      <c r="CZ86" s="193"/>
      <c r="DA86" s="193"/>
      <c r="DB86" s="193"/>
      <c r="DC86" s="193"/>
      <c r="DD86" s="193"/>
      <c r="DE86" s="193"/>
      <c r="DF86" s="193"/>
      <c r="DG86" s="193"/>
      <c r="DH86" s="193"/>
      <c r="DI86" s="193"/>
      <c r="DJ86" s="193"/>
      <c r="DK86" s="193"/>
      <c r="DL86" s="193"/>
      <c r="DM86" s="193"/>
      <c r="DN86" s="193"/>
      <c r="DO86" s="193"/>
      <c r="DP86" s="193"/>
      <c r="DQ86" s="193"/>
      <c r="DR86" s="193"/>
      <c r="DS86" s="193"/>
      <c r="DT86" s="193"/>
      <c r="DU86" s="193"/>
      <c r="DV86" s="193"/>
      <c r="DW86" s="193"/>
      <c r="DX86" s="193"/>
      <c r="DY86" s="193"/>
      <c r="DZ86" s="193"/>
      <c r="EA86" s="193"/>
      <c r="EB86" s="193"/>
      <c r="EC86" s="193"/>
      <c r="ED86" s="193"/>
      <c r="EE86" s="536"/>
      <c r="EF86" s="193"/>
      <c r="EG86" s="193"/>
      <c r="EH86" s="193"/>
      <c r="EI86" s="193"/>
      <c r="EJ86" s="645"/>
      <c r="EK86" s="193"/>
      <c r="EL86" s="193"/>
      <c r="EM86" s="193"/>
      <c r="EN86" s="193"/>
      <c r="EO86" s="193"/>
      <c r="EP86" s="193"/>
      <c r="EQ86" s="193"/>
      <c r="ER86" s="193"/>
      <c r="ES86" s="193"/>
      <c r="ET86" s="193"/>
      <c r="EU86" s="193"/>
    </row>
    <row r="87" spans="1:151" ht="12.9">
      <c r="A87" s="193"/>
      <c r="B87" s="193"/>
      <c r="C87" s="193"/>
      <c r="D87" s="193"/>
      <c r="E87" s="193"/>
      <c r="F87" s="193"/>
      <c r="G87" s="193"/>
      <c r="H87" s="193"/>
      <c r="I87" s="193"/>
      <c r="J87" s="193"/>
      <c r="K87" s="193"/>
      <c r="L87" s="193"/>
      <c r="M87" s="193"/>
      <c r="N87" s="193"/>
      <c r="O87" s="193"/>
      <c r="P87" s="193"/>
      <c r="Q87" s="193"/>
      <c r="R87" s="193"/>
      <c r="S87" s="193"/>
      <c r="T87" s="193"/>
      <c r="U87" s="193"/>
      <c r="V87" s="193"/>
      <c r="W87" s="193"/>
      <c r="X87" s="193"/>
      <c r="Y87" s="193"/>
      <c r="Z87" s="193"/>
      <c r="AA87" s="193"/>
      <c r="AB87" s="193"/>
      <c r="AC87" s="193"/>
      <c r="AD87" s="193"/>
      <c r="AE87" s="193"/>
      <c r="AF87" s="193"/>
      <c r="AG87" s="193"/>
      <c r="AH87" s="193"/>
      <c r="AI87" s="193"/>
      <c r="AJ87" s="193"/>
      <c r="AK87" s="193"/>
      <c r="AL87" s="193"/>
      <c r="AM87" s="193"/>
      <c r="AN87" s="193"/>
      <c r="AO87" s="193"/>
      <c r="AP87" s="193"/>
      <c r="AQ87" s="193"/>
      <c r="AR87" s="193"/>
      <c r="AS87" s="193"/>
      <c r="AT87" s="193"/>
      <c r="AU87" s="193"/>
      <c r="AV87" s="193"/>
      <c r="AW87" s="193"/>
      <c r="AX87" s="193"/>
      <c r="AY87" s="193"/>
      <c r="AZ87" s="193"/>
      <c r="BA87" s="193"/>
      <c r="BB87" s="193"/>
      <c r="BC87" s="193"/>
      <c r="BD87" s="193"/>
      <c r="BE87" s="193"/>
      <c r="BF87" s="193"/>
      <c r="BG87" s="193"/>
      <c r="BH87" s="193"/>
      <c r="BI87" s="193"/>
      <c r="BJ87" s="193"/>
      <c r="BK87" s="193"/>
      <c r="BL87" s="193"/>
      <c r="BM87" s="193"/>
      <c r="BN87" s="193"/>
      <c r="BO87" s="193"/>
      <c r="BP87" s="193"/>
      <c r="BQ87" s="193"/>
      <c r="BR87" s="193"/>
      <c r="BS87" s="193"/>
      <c r="BT87" s="193"/>
      <c r="BU87" s="193"/>
      <c r="BV87" s="193"/>
      <c r="BW87" s="193"/>
      <c r="BX87" s="193"/>
      <c r="BY87" s="193"/>
      <c r="BZ87" s="193"/>
      <c r="CA87" s="193"/>
      <c r="CB87" s="193"/>
      <c r="CC87" s="193"/>
      <c r="CD87" s="193"/>
      <c r="CE87" s="193"/>
      <c r="CF87" s="193"/>
      <c r="CG87" s="193"/>
      <c r="CH87" s="193"/>
      <c r="CI87" s="193"/>
      <c r="CJ87" s="193"/>
      <c r="CK87" s="193"/>
      <c r="CL87" s="193"/>
      <c r="CM87" s="193"/>
      <c r="CN87" s="193"/>
      <c r="CO87" s="193"/>
      <c r="CP87" s="193"/>
      <c r="CQ87" s="193"/>
      <c r="CR87" s="193"/>
      <c r="CS87" s="193"/>
      <c r="CT87" s="193"/>
      <c r="CU87" s="193"/>
      <c r="CV87" s="193"/>
      <c r="CW87" s="193"/>
      <c r="CX87" s="193"/>
      <c r="CY87" s="193"/>
      <c r="CZ87" s="193"/>
      <c r="DA87" s="193"/>
      <c r="DB87" s="193"/>
      <c r="DC87" s="193"/>
      <c r="DD87" s="193"/>
      <c r="DE87" s="193"/>
      <c r="DF87" s="193"/>
      <c r="DG87" s="193"/>
      <c r="DH87" s="193"/>
      <c r="DI87" s="193"/>
      <c r="DJ87" s="193"/>
      <c r="DK87" s="193"/>
      <c r="DL87" s="193"/>
      <c r="DM87" s="193"/>
      <c r="DN87" s="193"/>
      <c r="DO87" s="193"/>
      <c r="DP87" s="193"/>
      <c r="DQ87" s="193"/>
      <c r="DR87" s="193"/>
      <c r="DS87" s="193"/>
      <c r="DT87" s="193"/>
      <c r="DU87" s="193"/>
      <c r="DV87" s="193"/>
      <c r="DW87" s="193"/>
      <c r="DX87" s="193"/>
      <c r="DY87" s="193"/>
      <c r="DZ87" s="193"/>
      <c r="EA87" s="193"/>
      <c r="EB87" s="193"/>
      <c r="EC87" s="193"/>
      <c r="ED87" s="193"/>
      <c r="EE87" s="193"/>
      <c r="EF87" s="193"/>
      <c r="EG87" s="193"/>
      <c r="EH87" s="193"/>
      <c r="EI87" s="193"/>
      <c r="EJ87" s="193"/>
      <c r="EK87" s="193"/>
      <c r="EL87" s="193"/>
      <c r="EM87" s="193"/>
      <c r="EN87" s="193"/>
      <c r="EO87" s="193"/>
      <c r="EP87" s="193"/>
      <c r="EQ87" s="193"/>
      <c r="ER87" s="193"/>
      <c r="ES87" s="193"/>
      <c r="ET87" s="193"/>
      <c r="EU87" s="193"/>
    </row>
    <row r="88" spans="1:151" ht="12.9">
      <c r="A88" s="193"/>
      <c r="B88" s="193"/>
      <c r="C88" s="193"/>
      <c r="D88" s="193"/>
      <c r="E88" s="193"/>
      <c r="F88" s="193"/>
      <c r="G88" s="193"/>
      <c r="H88" s="193"/>
      <c r="I88" s="193"/>
      <c r="J88" s="193"/>
      <c r="K88" s="193"/>
      <c r="L88" s="193"/>
      <c r="M88" s="193"/>
      <c r="N88" s="193"/>
      <c r="O88" s="193"/>
      <c r="P88" s="193"/>
      <c r="Q88" s="193"/>
      <c r="R88" s="193"/>
      <c r="S88" s="193"/>
      <c r="T88" s="193"/>
      <c r="U88" s="193"/>
      <c r="V88" s="193"/>
      <c r="W88" s="193"/>
      <c r="X88" s="193"/>
      <c r="Y88" s="193"/>
      <c r="Z88" s="193"/>
      <c r="AA88" s="193"/>
      <c r="AB88" s="193"/>
      <c r="AC88" s="193"/>
      <c r="AD88" s="193"/>
      <c r="AE88" s="193"/>
      <c r="AF88" s="193"/>
      <c r="AG88" s="193"/>
      <c r="AH88" s="193"/>
      <c r="AI88" s="193"/>
      <c r="AJ88" s="193"/>
      <c r="AK88" s="193"/>
      <c r="AL88" s="193"/>
      <c r="AM88" s="193"/>
      <c r="AN88" s="193"/>
      <c r="AO88" s="193"/>
      <c r="AP88" s="193"/>
      <c r="AQ88" s="193"/>
      <c r="AR88" s="193"/>
      <c r="AS88" s="193"/>
      <c r="AT88" s="193"/>
      <c r="AU88" s="193"/>
      <c r="AV88" s="193"/>
      <c r="AW88" s="193"/>
      <c r="AX88" s="193"/>
      <c r="AY88" s="193"/>
      <c r="AZ88" s="193"/>
      <c r="BA88" s="193"/>
      <c r="BB88" s="193"/>
      <c r="BC88" s="193"/>
      <c r="BD88" s="193"/>
      <c r="BE88" s="193"/>
      <c r="BF88" s="193"/>
      <c r="BG88" s="193"/>
      <c r="BH88" s="193"/>
      <c r="BI88" s="193"/>
      <c r="BJ88" s="193"/>
      <c r="BK88" s="193"/>
      <c r="BL88" s="193"/>
      <c r="BM88" s="193"/>
      <c r="BN88" s="193"/>
      <c r="BO88" s="193"/>
      <c r="BP88" s="193"/>
      <c r="BQ88" s="193"/>
      <c r="BR88" s="193"/>
      <c r="BS88" s="193"/>
      <c r="BT88" s="193"/>
      <c r="BU88" s="193"/>
      <c r="BV88" s="193"/>
      <c r="BW88" s="193"/>
      <c r="BX88" s="193"/>
      <c r="BY88" s="193"/>
      <c r="BZ88" s="193"/>
      <c r="CA88" s="193"/>
      <c r="CB88" s="193"/>
      <c r="CC88" s="193"/>
      <c r="CD88" s="193"/>
      <c r="CE88" s="193"/>
      <c r="CF88" s="193"/>
      <c r="CG88" s="193"/>
      <c r="CH88" s="193"/>
      <c r="CI88" s="193"/>
      <c r="CJ88" s="193"/>
      <c r="CK88" s="193"/>
      <c r="CL88" s="193"/>
      <c r="CM88" s="193"/>
      <c r="CN88" s="193"/>
      <c r="CO88" s="193"/>
      <c r="CP88" s="193"/>
      <c r="CQ88" s="193"/>
      <c r="CR88" s="193"/>
      <c r="CS88" s="193"/>
      <c r="CT88" s="193"/>
      <c r="CU88" s="193"/>
      <c r="CV88" s="193"/>
      <c r="CW88" s="193"/>
      <c r="CX88" s="193"/>
      <c r="CY88" s="193"/>
      <c r="CZ88" s="193"/>
      <c r="DA88" s="193"/>
      <c r="DB88" s="193"/>
      <c r="DC88" s="193"/>
      <c r="DD88" s="193"/>
      <c r="DE88" s="193"/>
      <c r="DF88" s="193"/>
      <c r="DG88" s="193"/>
      <c r="DH88" s="193"/>
      <c r="DI88" s="193"/>
      <c r="DJ88" s="193"/>
      <c r="DK88" s="193"/>
      <c r="DL88" s="193"/>
      <c r="DM88" s="193"/>
      <c r="DN88" s="193"/>
      <c r="DO88" s="193"/>
      <c r="DP88" s="193"/>
      <c r="DQ88" s="193"/>
      <c r="DR88" s="193"/>
      <c r="DS88" s="193"/>
      <c r="DT88" s="193"/>
      <c r="DU88" s="193"/>
      <c r="DV88" s="193"/>
      <c r="DW88" s="193"/>
      <c r="DX88" s="193"/>
      <c r="DY88" s="193"/>
      <c r="DZ88" s="193"/>
      <c r="EA88" s="193"/>
      <c r="EB88" s="193"/>
      <c r="EC88" s="193"/>
      <c r="ED88" s="193"/>
      <c r="EE88" s="536"/>
      <c r="EF88" s="193"/>
      <c r="EG88" s="193"/>
      <c r="EH88" s="193"/>
      <c r="EI88" s="193"/>
      <c r="EJ88" s="645"/>
      <c r="EK88" s="193"/>
      <c r="EL88" s="193"/>
      <c r="EM88" s="193"/>
      <c r="EN88" s="193"/>
      <c r="EO88" s="193"/>
      <c r="EP88" s="193"/>
      <c r="EQ88" s="193"/>
      <c r="ER88" s="193"/>
      <c r="ES88" s="193"/>
      <c r="ET88" s="193"/>
      <c r="EU88" s="193"/>
    </row>
    <row r="89" spans="1:151" ht="12.9">
      <c r="A89" s="193"/>
      <c r="B89" s="193"/>
      <c r="C89" s="193"/>
      <c r="D89" s="193"/>
      <c r="E89" s="193"/>
      <c r="F89" s="193"/>
      <c r="G89" s="193"/>
      <c r="H89" s="193"/>
      <c r="I89" s="193"/>
      <c r="J89" s="193"/>
      <c r="K89" s="193"/>
      <c r="L89" s="193"/>
      <c r="M89" s="193"/>
      <c r="N89" s="193"/>
      <c r="O89" s="193"/>
      <c r="P89" s="193"/>
      <c r="Q89" s="193"/>
      <c r="R89" s="193"/>
      <c r="S89" s="193"/>
      <c r="T89" s="193"/>
      <c r="U89" s="193"/>
      <c r="V89" s="193"/>
      <c r="W89" s="193"/>
      <c r="X89" s="193"/>
      <c r="Y89" s="193"/>
      <c r="Z89" s="193"/>
      <c r="AA89" s="193"/>
      <c r="AB89" s="193"/>
      <c r="AC89" s="193"/>
      <c r="AD89" s="193"/>
      <c r="AE89" s="193"/>
      <c r="AF89" s="193"/>
      <c r="AG89" s="193"/>
      <c r="AH89" s="193"/>
      <c r="AI89" s="193"/>
      <c r="AJ89" s="193"/>
      <c r="AK89" s="193"/>
      <c r="AL89" s="193"/>
      <c r="AM89" s="193"/>
      <c r="AN89" s="193"/>
      <c r="AO89" s="193"/>
      <c r="AP89" s="193"/>
      <c r="AQ89" s="193"/>
      <c r="AR89" s="193"/>
      <c r="AS89" s="193"/>
      <c r="AT89" s="193"/>
      <c r="AU89" s="193"/>
      <c r="AV89" s="193"/>
      <c r="AW89" s="193"/>
      <c r="AX89" s="193"/>
      <c r="AY89" s="193"/>
      <c r="AZ89" s="193"/>
      <c r="BA89" s="193"/>
      <c r="BB89" s="193"/>
      <c r="BC89" s="193"/>
      <c r="BD89" s="193"/>
      <c r="BE89" s="193"/>
      <c r="BF89" s="193"/>
      <c r="BG89" s="193"/>
      <c r="BH89" s="193"/>
      <c r="BI89" s="193"/>
      <c r="BJ89" s="193"/>
      <c r="BK89" s="193"/>
      <c r="BL89" s="193"/>
      <c r="BM89" s="193"/>
      <c r="BN89" s="193"/>
      <c r="BO89" s="193"/>
      <c r="BP89" s="193"/>
      <c r="BQ89" s="193"/>
      <c r="BR89" s="193"/>
      <c r="BS89" s="193"/>
      <c r="BT89" s="193"/>
      <c r="BU89" s="193"/>
      <c r="BV89" s="193"/>
      <c r="BW89" s="193"/>
      <c r="BX89" s="193"/>
      <c r="BY89" s="193"/>
      <c r="BZ89" s="193"/>
      <c r="CA89" s="193"/>
      <c r="CB89" s="193"/>
      <c r="CC89" s="193"/>
      <c r="CD89" s="193"/>
      <c r="CE89" s="193"/>
      <c r="CF89" s="193"/>
      <c r="CG89" s="193"/>
      <c r="CH89" s="193"/>
      <c r="CI89" s="193"/>
      <c r="CJ89" s="193"/>
      <c r="CK89" s="193"/>
      <c r="CL89" s="193"/>
      <c r="CM89" s="193"/>
      <c r="CN89" s="193"/>
      <c r="CO89" s="193"/>
      <c r="CP89" s="193"/>
      <c r="CQ89" s="193"/>
      <c r="CR89" s="193"/>
      <c r="CS89" s="193"/>
      <c r="CT89" s="193"/>
      <c r="CU89" s="193"/>
      <c r="CV89" s="193"/>
      <c r="CW89" s="193"/>
      <c r="CX89" s="193"/>
      <c r="CY89" s="193"/>
      <c r="CZ89" s="193"/>
      <c r="DA89" s="193"/>
      <c r="DB89" s="193"/>
      <c r="DC89" s="193"/>
      <c r="DD89" s="193"/>
      <c r="DE89" s="193"/>
      <c r="DF89" s="193"/>
      <c r="DG89" s="193"/>
      <c r="DH89" s="193"/>
      <c r="DI89" s="193"/>
      <c r="DJ89" s="193"/>
      <c r="DK89" s="193"/>
      <c r="DL89" s="193"/>
      <c r="DM89" s="193"/>
      <c r="DN89" s="193"/>
      <c r="DO89" s="193"/>
      <c r="DP89" s="193"/>
      <c r="DQ89" s="193"/>
      <c r="DR89" s="193"/>
      <c r="DS89" s="193"/>
      <c r="DT89" s="193"/>
      <c r="DU89" s="193"/>
      <c r="DV89" s="193"/>
      <c r="DW89" s="193"/>
      <c r="DX89" s="193"/>
      <c r="DY89" s="193"/>
      <c r="DZ89" s="193"/>
      <c r="EA89" s="193"/>
      <c r="EB89" s="193"/>
      <c r="EC89" s="193"/>
      <c r="ED89" s="193"/>
      <c r="EE89" s="193"/>
      <c r="EF89" s="193"/>
      <c r="EG89" s="193"/>
      <c r="EH89" s="193"/>
      <c r="EI89" s="193"/>
      <c r="EJ89" s="193"/>
      <c r="EK89" s="193"/>
      <c r="EL89" s="193"/>
      <c r="EM89" s="193"/>
      <c r="EN89" s="193"/>
      <c r="EO89" s="193"/>
      <c r="EP89" s="193"/>
      <c r="EQ89" s="193"/>
      <c r="ER89" s="193"/>
      <c r="ES89" s="193"/>
      <c r="ET89" s="193"/>
      <c r="EU89" s="193"/>
    </row>
    <row r="90" spans="1:151" ht="12.9">
      <c r="A90" s="193"/>
      <c r="B90" s="193"/>
      <c r="C90" s="193"/>
      <c r="D90" s="193"/>
      <c r="E90" s="193"/>
      <c r="F90" s="193"/>
      <c r="G90" s="193"/>
      <c r="H90" s="193"/>
      <c r="I90" s="193"/>
      <c r="J90" s="193"/>
      <c r="K90" s="193"/>
      <c r="L90" s="193"/>
      <c r="M90" s="193"/>
      <c r="N90" s="193"/>
      <c r="O90" s="193"/>
      <c r="P90" s="193"/>
      <c r="Q90" s="193"/>
      <c r="R90" s="193"/>
      <c r="S90" s="193"/>
      <c r="T90" s="193"/>
      <c r="U90" s="193"/>
      <c r="V90" s="193"/>
      <c r="W90" s="193"/>
      <c r="X90" s="193"/>
      <c r="Y90" s="193"/>
      <c r="Z90" s="193"/>
      <c r="AA90" s="193"/>
      <c r="AB90" s="193"/>
      <c r="AC90" s="193"/>
      <c r="AD90" s="193"/>
      <c r="AE90" s="193"/>
      <c r="AF90" s="193"/>
      <c r="AG90" s="193"/>
      <c r="AH90" s="193"/>
      <c r="AI90" s="193"/>
      <c r="AJ90" s="193"/>
      <c r="AK90" s="193"/>
      <c r="AL90" s="193"/>
      <c r="AM90" s="193"/>
      <c r="AN90" s="193"/>
      <c r="AO90" s="193"/>
      <c r="AP90" s="193"/>
      <c r="AQ90" s="193"/>
      <c r="AR90" s="193"/>
      <c r="AS90" s="193"/>
      <c r="AT90" s="193"/>
      <c r="AU90" s="193"/>
      <c r="AV90" s="193"/>
      <c r="AW90" s="193"/>
      <c r="AX90" s="193"/>
      <c r="AY90" s="193"/>
      <c r="AZ90" s="193"/>
      <c r="BA90" s="193"/>
      <c r="BB90" s="193"/>
      <c r="BC90" s="193"/>
      <c r="BD90" s="193"/>
      <c r="BE90" s="193"/>
      <c r="BF90" s="193"/>
      <c r="BG90" s="193"/>
      <c r="BH90" s="193"/>
      <c r="BI90" s="193"/>
      <c r="BJ90" s="193"/>
      <c r="BK90" s="193"/>
      <c r="BL90" s="193"/>
      <c r="BM90" s="193"/>
      <c r="BN90" s="193"/>
      <c r="BO90" s="193"/>
      <c r="BP90" s="193"/>
      <c r="BQ90" s="193"/>
      <c r="BR90" s="193"/>
      <c r="BS90" s="193"/>
      <c r="BT90" s="193"/>
      <c r="BU90" s="193"/>
      <c r="BV90" s="193"/>
      <c r="BW90" s="193"/>
      <c r="BX90" s="193"/>
      <c r="BY90" s="193"/>
      <c r="BZ90" s="193"/>
      <c r="CA90" s="193"/>
      <c r="CB90" s="193"/>
      <c r="CC90" s="193"/>
      <c r="CD90" s="193"/>
      <c r="CE90" s="193"/>
      <c r="CF90" s="193"/>
      <c r="CG90" s="193"/>
      <c r="CH90" s="193"/>
      <c r="CI90" s="193"/>
      <c r="CJ90" s="193"/>
      <c r="CK90" s="193"/>
      <c r="CL90" s="193"/>
      <c r="CM90" s="193"/>
      <c r="CN90" s="193"/>
      <c r="CO90" s="193"/>
      <c r="CP90" s="193"/>
      <c r="CQ90" s="193"/>
      <c r="CR90" s="193"/>
      <c r="CS90" s="193"/>
      <c r="CT90" s="193"/>
      <c r="CU90" s="193"/>
      <c r="CV90" s="193"/>
      <c r="CW90" s="193"/>
      <c r="CX90" s="193"/>
      <c r="CY90" s="193"/>
      <c r="CZ90" s="193"/>
      <c r="DA90" s="193"/>
      <c r="DB90" s="193"/>
      <c r="DC90" s="193"/>
      <c r="DD90" s="193"/>
      <c r="DE90" s="193"/>
      <c r="DF90" s="193"/>
      <c r="DG90" s="193"/>
      <c r="DH90" s="193"/>
      <c r="DI90" s="193"/>
      <c r="DJ90" s="193"/>
      <c r="DK90" s="193"/>
      <c r="DL90" s="193"/>
      <c r="DM90" s="193"/>
      <c r="DN90" s="193"/>
      <c r="DO90" s="193"/>
      <c r="DP90" s="193"/>
      <c r="DQ90" s="193"/>
      <c r="DR90" s="193"/>
      <c r="DS90" s="193"/>
      <c r="DT90" s="193"/>
      <c r="DU90" s="193"/>
      <c r="DV90" s="193"/>
      <c r="DW90" s="193"/>
      <c r="DX90" s="193"/>
      <c r="DY90" s="193"/>
      <c r="DZ90" s="193"/>
      <c r="EA90" s="193"/>
      <c r="EB90" s="193"/>
      <c r="EC90" s="193"/>
      <c r="ED90" s="193"/>
      <c r="EE90" s="536"/>
      <c r="EF90" s="193"/>
      <c r="EG90" s="193"/>
      <c r="EH90" s="193"/>
      <c r="EI90" s="193"/>
      <c r="EJ90" s="645"/>
      <c r="EK90" s="193"/>
      <c r="EL90" s="193"/>
      <c r="EM90" s="193"/>
      <c r="EN90" s="193"/>
      <c r="EO90" s="193"/>
      <c r="EP90" s="193"/>
      <c r="EQ90" s="193"/>
      <c r="ER90" s="193"/>
      <c r="ES90" s="193"/>
      <c r="ET90" s="193"/>
      <c r="EU90" s="193"/>
    </row>
    <row r="91" spans="1:151" ht="12.9">
      <c r="A91" s="193"/>
      <c r="B91" s="193"/>
      <c r="C91" s="193"/>
      <c r="D91" s="193"/>
      <c r="E91" s="193"/>
      <c r="F91" s="193"/>
      <c r="G91" s="193"/>
      <c r="H91" s="193"/>
      <c r="I91" s="193"/>
      <c r="J91" s="193"/>
      <c r="K91" s="193"/>
      <c r="L91" s="193"/>
      <c r="M91" s="193"/>
      <c r="N91" s="193"/>
      <c r="O91" s="193"/>
      <c r="P91" s="193"/>
      <c r="Q91" s="193"/>
      <c r="R91" s="193"/>
      <c r="S91" s="193"/>
      <c r="T91" s="193"/>
      <c r="U91" s="193"/>
      <c r="V91" s="193"/>
      <c r="W91" s="193"/>
      <c r="X91" s="193"/>
      <c r="Y91" s="193"/>
      <c r="Z91" s="193"/>
      <c r="AA91" s="193"/>
      <c r="AB91" s="193"/>
      <c r="AC91" s="193"/>
      <c r="AD91" s="193"/>
      <c r="AE91" s="193"/>
      <c r="AF91" s="193"/>
      <c r="AG91" s="193"/>
      <c r="AH91" s="193"/>
      <c r="AI91" s="193"/>
      <c r="AJ91" s="193"/>
      <c r="AK91" s="193"/>
      <c r="AL91" s="193"/>
      <c r="AM91" s="193"/>
      <c r="AN91" s="193"/>
      <c r="AO91" s="193"/>
      <c r="AP91" s="193"/>
      <c r="AQ91" s="193"/>
      <c r="AR91" s="193"/>
      <c r="AS91" s="193"/>
      <c r="AT91" s="193"/>
      <c r="AU91" s="193"/>
      <c r="AV91" s="193"/>
      <c r="AW91" s="193"/>
      <c r="AX91" s="193"/>
      <c r="AY91" s="193"/>
      <c r="AZ91" s="193"/>
      <c r="BA91" s="193"/>
      <c r="BB91" s="193"/>
      <c r="BC91" s="193"/>
      <c r="BD91" s="193"/>
      <c r="BE91" s="193"/>
      <c r="BF91" s="193"/>
      <c r="BG91" s="193"/>
      <c r="BH91" s="193"/>
      <c r="BI91" s="193"/>
      <c r="BJ91" s="193"/>
      <c r="BK91" s="193"/>
      <c r="BL91" s="193"/>
      <c r="BM91" s="193"/>
      <c r="BN91" s="193"/>
      <c r="BO91" s="193"/>
      <c r="BP91" s="193"/>
      <c r="BQ91" s="193"/>
      <c r="BR91" s="193"/>
      <c r="BS91" s="193"/>
      <c r="BT91" s="193"/>
      <c r="BU91" s="193"/>
      <c r="BV91" s="193"/>
      <c r="BW91" s="193"/>
      <c r="BX91" s="193"/>
      <c r="BY91" s="193"/>
      <c r="BZ91" s="193"/>
      <c r="CA91" s="193"/>
      <c r="CB91" s="193"/>
      <c r="CC91" s="193"/>
      <c r="CD91" s="193"/>
      <c r="CE91" s="193"/>
      <c r="CF91" s="193"/>
      <c r="CG91" s="193"/>
      <c r="CH91" s="193"/>
      <c r="CI91" s="193"/>
      <c r="CJ91" s="193"/>
      <c r="CK91" s="193"/>
      <c r="CL91" s="193"/>
      <c r="CM91" s="193"/>
      <c r="CN91" s="193"/>
      <c r="CO91" s="193"/>
      <c r="CP91" s="193"/>
      <c r="CQ91" s="193"/>
      <c r="CR91" s="193"/>
      <c r="CS91" s="193"/>
      <c r="CT91" s="193"/>
      <c r="CU91" s="193"/>
      <c r="CV91" s="193"/>
      <c r="CW91" s="193"/>
      <c r="CX91" s="193"/>
      <c r="CY91" s="193"/>
      <c r="CZ91" s="193"/>
      <c r="DA91" s="193"/>
      <c r="DB91" s="193"/>
      <c r="DC91" s="193"/>
      <c r="DD91" s="193"/>
      <c r="DE91" s="193"/>
      <c r="DF91" s="193"/>
      <c r="DG91" s="193"/>
      <c r="DH91" s="193"/>
      <c r="DI91" s="193"/>
      <c r="DJ91" s="193"/>
      <c r="DK91" s="193"/>
      <c r="DL91" s="193"/>
      <c r="DM91" s="193"/>
      <c r="DN91" s="193"/>
      <c r="DO91" s="193"/>
      <c r="DP91" s="193"/>
      <c r="DQ91" s="193"/>
      <c r="DR91" s="193"/>
      <c r="DS91" s="193"/>
      <c r="DT91" s="193"/>
      <c r="DU91" s="193"/>
      <c r="DV91" s="193"/>
      <c r="DW91" s="193"/>
      <c r="DX91" s="193"/>
      <c r="DY91" s="193"/>
      <c r="DZ91" s="193"/>
      <c r="EA91" s="193"/>
      <c r="EB91" s="193"/>
      <c r="EC91" s="193"/>
      <c r="ED91" s="193"/>
      <c r="EE91" s="193"/>
      <c r="EF91" s="193"/>
      <c r="EG91" s="193"/>
      <c r="EH91" s="193"/>
      <c r="EI91" s="193"/>
      <c r="EJ91" s="193"/>
      <c r="EK91" s="193"/>
      <c r="EL91" s="193"/>
      <c r="EM91" s="193"/>
      <c r="EN91" s="193"/>
      <c r="EO91" s="193"/>
      <c r="EP91" s="193"/>
      <c r="EQ91" s="193"/>
      <c r="ER91" s="193"/>
      <c r="ES91" s="193"/>
      <c r="ET91" s="193"/>
      <c r="EU91" s="193"/>
    </row>
    <row r="92" spans="1:151" ht="12.9">
      <c r="A92" s="193"/>
      <c r="B92" s="193"/>
      <c r="C92" s="193"/>
      <c r="D92" s="193"/>
      <c r="E92" s="193"/>
      <c r="F92" s="193"/>
      <c r="G92" s="193"/>
      <c r="H92" s="193"/>
      <c r="I92" s="193"/>
      <c r="J92" s="193"/>
      <c r="K92" s="193"/>
      <c r="L92" s="193"/>
      <c r="M92" s="193"/>
      <c r="N92" s="193"/>
      <c r="O92" s="193"/>
      <c r="P92" s="193"/>
      <c r="Q92" s="193"/>
      <c r="R92" s="193"/>
      <c r="S92" s="193"/>
      <c r="T92" s="193"/>
      <c r="U92" s="193"/>
      <c r="V92" s="193"/>
      <c r="W92" s="193"/>
      <c r="X92" s="193"/>
      <c r="Y92" s="193"/>
      <c r="Z92" s="193"/>
      <c r="AA92" s="193"/>
      <c r="AB92" s="193"/>
      <c r="AC92" s="193"/>
      <c r="AD92" s="193"/>
      <c r="AE92" s="193"/>
      <c r="AF92" s="193"/>
      <c r="AG92" s="193"/>
      <c r="AH92" s="193"/>
      <c r="AI92" s="193"/>
      <c r="AJ92" s="193"/>
      <c r="AK92" s="193"/>
      <c r="AL92" s="193"/>
      <c r="AM92" s="193"/>
      <c r="AN92" s="193"/>
      <c r="AO92" s="193"/>
      <c r="AP92" s="193"/>
      <c r="AQ92" s="193"/>
      <c r="AR92" s="193"/>
      <c r="AS92" s="193"/>
      <c r="AT92" s="193"/>
      <c r="AU92" s="193"/>
      <c r="AV92" s="193"/>
      <c r="AW92" s="193"/>
      <c r="AX92" s="193"/>
      <c r="AY92" s="193"/>
      <c r="AZ92" s="193"/>
      <c r="BA92" s="193"/>
      <c r="BB92" s="193"/>
      <c r="BC92" s="193"/>
      <c r="BD92" s="193"/>
      <c r="BE92" s="193"/>
      <c r="BF92" s="193"/>
      <c r="BG92" s="193"/>
      <c r="BH92" s="193"/>
      <c r="BI92" s="193"/>
      <c r="BJ92" s="193"/>
      <c r="BK92" s="193"/>
      <c r="BL92" s="193"/>
      <c r="BM92" s="193"/>
      <c r="BN92" s="193"/>
      <c r="BO92" s="193"/>
      <c r="BP92" s="193"/>
      <c r="BQ92" s="193"/>
      <c r="BR92" s="193"/>
      <c r="BS92" s="193"/>
      <c r="BT92" s="193"/>
      <c r="BU92" s="193"/>
      <c r="BV92" s="193"/>
      <c r="BW92" s="193"/>
      <c r="BX92" s="193"/>
      <c r="BY92" s="193"/>
      <c r="BZ92" s="193"/>
      <c r="CA92" s="193"/>
      <c r="CB92" s="193"/>
      <c r="CC92" s="193"/>
      <c r="CD92" s="193"/>
      <c r="CE92" s="193"/>
      <c r="CF92" s="193"/>
      <c r="CG92" s="193"/>
      <c r="CH92" s="193"/>
      <c r="CI92" s="193"/>
      <c r="CJ92" s="193"/>
      <c r="CK92" s="193"/>
      <c r="CL92" s="193"/>
      <c r="CM92" s="193"/>
      <c r="CN92" s="193"/>
      <c r="CO92" s="193"/>
      <c r="CP92" s="193"/>
      <c r="CQ92" s="193"/>
      <c r="CR92" s="193"/>
      <c r="CS92" s="193"/>
      <c r="CT92" s="193"/>
      <c r="CU92" s="193"/>
      <c r="CV92" s="193"/>
      <c r="CW92" s="193"/>
      <c r="CX92" s="193"/>
      <c r="CY92" s="193"/>
      <c r="CZ92" s="193"/>
      <c r="DA92" s="193"/>
      <c r="DB92" s="193"/>
      <c r="DC92" s="193"/>
      <c r="DD92" s="193"/>
      <c r="DE92" s="193"/>
      <c r="DF92" s="193"/>
      <c r="DG92" s="193"/>
      <c r="DH92" s="193"/>
      <c r="DI92" s="193"/>
      <c r="DJ92" s="193"/>
      <c r="DK92" s="193"/>
      <c r="DL92" s="193"/>
      <c r="DM92" s="193"/>
      <c r="DN92" s="193"/>
      <c r="DO92" s="193"/>
      <c r="DP92" s="193"/>
      <c r="DQ92" s="193"/>
      <c r="DR92" s="193"/>
      <c r="DS92" s="193"/>
      <c r="DT92" s="193"/>
      <c r="DU92" s="193"/>
      <c r="DV92" s="193"/>
      <c r="DW92" s="193"/>
      <c r="DX92" s="193"/>
      <c r="DY92" s="193"/>
      <c r="DZ92" s="193"/>
      <c r="EA92" s="193"/>
      <c r="EB92" s="193"/>
      <c r="EC92" s="193"/>
      <c r="ED92" s="193"/>
      <c r="EE92" s="536"/>
      <c r="EF92" s="193"/>
      <c r="EG92" s="193"/>
      <c r="EH92" s="193"/>
      <c r="EI92" s="193"/>
      <c r="EJ92" s="645"/>
      <c r="EK92" s="193"/>
      <c r="EL92" s="193"/>
      <c r="EM92" s="193"/>
      <c r="EN92" s="193"/>
      <c r="EO92" s="193"/>
      <c r="EP92" s="193"/>
      <c r="EQ92" s="193"/>
      <c r="ER92" s="193"/>
      <c r="ES92" s="193"/>
      <c r="ET92" s="193"/>
      <c r="EU92" s="193"/>
    </row>
    <row r="93" spans="1:151" ht="12.9">
      <c r="A93" s="193"/>
      <c r="B93" s="193"/>
      <c r="C93" s="193"/>
      <c r="D93" s="193"/>
      <c r="E93" s="193"/>
      <c r="F93" s="193"/>
      <c r="G93" s="193"/>
      <c r="H93" s="193"/>
      <c r="I93" s="193"/>
      <c r="J93" s="193"/>
      <c r="K93" s="193"/>
      <c r="L93" s="193"/>
      <c r="M93" s="193"/>
      <c r="N93" s="193"/>
      <c r="O93" s="193"/>
      <c r="P93" s="193"/>
      <c r="Q93" s="193"/>
      <c r="R93" s="193"/>
      <c r="S93" s="193"/>
      <c r="T93" s="193"/>
      <c r="U93" s="193"/>
      <c r="V93" s="193"/>
      <c r="W93" s="193"/>
      <c r="X93" s="193"/>
      <c r="Y93" s="193"/>
      <c r="Z93" s="193"/>
      <c r="AA93" s="193"/>
      <c r="AB93" s="193"/>
      <c r="AC93" s="193"/>
      <c r="AD93" s="193"/>
      <c r="AE93" s="193"/>
      <c r="AF93" s="193"/>
      <c r="AG93" s="193"/>
      <c r="AH93" s="193"/>
      <c r="AI93" s="193"/>
      <c r="AJ93" s="193"/>
      <c r="AK93" s="193"/>
      <c r="AL93" s="193"/>
      <c r="AM93" s="193"/>
      <c r="AN93" s="193"/>
      <c r="AO93" s="193"/>
      <c r="AP93" s="193"/>
      <c r="AQ93" s="193"/>
      <c r="AR93" s="193"/>
      <c r="AS93" s="193"/>
      <c r="AT93" s="193"/>
      <c r="AU93" s="193"/>
      <c r="AV93" s="193"/>
      <c r="AW93" s="193"/>
      <c r="AX93" s="193"/>
      <c r="AY93" s="193"/>
      <c r="AZ93" s="193"/>
      <c r="BA93" s="193"/>
      <c r="BB93" s="193"/>
      <c r="BC93" s="193"/>
      <c r="BD93" s="193"/>
      <c r="BE93" s="193"/>
      <c r="BF93" s="193"/>
      <c r="BG93" s="193"/>
      <c r="BH93" s="193"/>
      <c r="BI93" s="193"/>
      <c r="BJ93" s="193"/>
      <c r="BK93" s="193"/>
      <c r="BL93" s="193"/>
      <c r="BM93" s="193"/>
      <c r="BN93" s="193"/>
      <c r="BO93" s="193"/>
      <c r="BP93" s="193"/>
      <c r="BQ93" s="193"/>
      <c r="BR93" s="193"/>
      <c r="BS93" s="193"/>
      <c r="BT93" s="193"/>
      <c r="BU93" s="193"/>
      <c r="BV93" s="193"/>
      <c r="BW93" s="193"/>
      <c r="BX93" s="193"/>
      <c r="BY93" s="193"/>
      <c r="BZ93" s="193"/>
      <c r="CA93" s="193"/>
      <c r="CB93" s="193"/>
      <c r="CC93" s="193"/>
      <c r="CD93" s="193"/>
      <c r="CE93" s="193"/>
      <c r="CF93" s="193"/>
      <c r="CG93" s="193"/>
      <c r="CH93" s="193"/>
      <c r="CI93" s="193"/>
      <c r="CJ93" s="193"/>
      <c r="CK93" s="193"/>
      <c r="CL93" s="193"/>
      <c r="CM93" s="193"/>
      <c r="CN93" s="193"/>
      <c r="CO93" s="193"/>
      <c r="CP93" s="193"/>
      <c r="CQ93" s="193"/>
      <c r="CR93" s="193"/>
      <c r="CS93" s="193"/>
      <c r="CT93" s="193"/>
      <c r="CU93" s="193"/>
      <c r="CV93" s="193"/>
      <c r="CW93" s="193"/>
      <c r="CX93" s="193"/>
      <c r="CY93" s="193"/>
      <c r="CZ93" s="193"/>
      <c r="DA93" s="193"/>
      <c r="DB93" s="193"/>
      <c r="DC93" s="193"/>
      <c r="DD93" s="193"/>
      <c r="DE93" s="193"/>
      <c r="DF93" s="193"/>
      <c r="DG93" s="193"/>
      <c r="DH93" s="193"/>
      <c r="DI93" s="193"/>
      <c r="DJ93" s="193"/>
      <c r="DK93" s="193"/>
      <c r="DL93" s="193"/>
      <c r="DM93" s="193"/>
      <c r="DN93" s="193"/>
      <c r="DO93" s="193"/>
      <c r="DP93" s="193"/>
      <c r="DQ93" s="193"/>
      <c r="DR93" s="193"/>
      <c r="DS93" s="193"/>
      <c r="DT93" s="193"/>
      <c r="DU93" s="193"/>
      <c r="DV93" s="193"/>
      <c r="DW93" s="193"/>
      <c r="DX93" s="193"/>
      <c r="DY93" s="193"/>
      <c r="DZ93" s="193"/>
      <c r="EA93" s="193"/>
      <c r="EB93" s="193"/>
      <c r="EC93" s="193"/>
      <c r="ED93" s="193"/>
      <c r="EE93" s="536"/>
      <c r="EF93" s="193"/>
      <c r="EG93" s="193"/>
      <c r="EH93" s="193"/>
      <c r="EI93" s="193"/>
      <c r="EJ93" s="193"/>
      <c r="EK93" s="193"/>
      <c r="EL93" s="193"/>
      <c r="EM93" s="193"/>
      <c r="EN93" s="193"/>
      <c r="EO93" s="193"/>
      <c r="EP93" s="193"/>
      <c r="EQ93" s="193"/>
      <c r="ER93" s="193"/>
      <c r="ES93" s="193"/>
      <c r="ET93" s="193"/>
      <c r="EU93" s="193"/>
    </row>
    <row r="94" spans="1:151" ht="12.9">
      <c r="A94" s="193"/>
      <c r="B94" s="193"/>
      <c r="C94" s="193"/>
      <c r="D94" s="193"/>
      <c r="E94" s="193"/>
      <c r="F94" s="193"/>
      <c r="G94" s="193"/>
      <c r="H94" s="193"/>
      <c r="I94" s="193"/>
      <c r="J94" s="193"/>
      <c r="K94" s="193"/>
      <c r="L94" s="193"/>
      <c r="M94" s="193"/>
      <c r="N94" s="193"/>
      <c r="O94" s="193"/>
      <c r="P94" s="193"/>
      <c r="Q94" s="193"/>
      <c r="R94" s="193"/>
      <c r="S94" s="193"/>
      <c r="T94" s="193"/>
      <c r="U94" s="193"/>
      <c r="V94" s="193"/>
      <c r="W94" s="193"/>
      <c r="X94" s="193"/>
      <c r="Y94" s="193"/>
      <c r="Z94" s="193"/>
      <c r="AA94" s="193"/>
      <c r="AB94" s="193"/>
      <c r="AC94" s="193"/>
      <c r="AD94" s="193"/>
      <c r="AE94" s="193"/>
      <c r="AF94" s="193"/>
      <c r="AG94" s="193"/>
      <c r="AH94" s="193"/>
      <c r="AI94" s="193"/>
      <c r="AJ94" s="193"/>
      <c r="AK94" s="193"/>
      <c r="AL94" s="193"/>
      <c r="AM94" s="193"/>
      <c r="AN94" s="193"/>
      <c r="AO94" s="193"/>
      <c r="AP94" s="193"/>
      <c r="AQ94" s="193"/>
      <c r="AR94" s="193"/>
      <c r="AS94" s="193"/>
      <c r="AT94" s="193"/>
      <c r="AU94" s="193"/>
      <c r="AV94" s="193"/>
      <c r="AW94" s="193"/>
      <c r="AX94" s="193"/>
      <c r="AY94" s="193"/>
      <c r="AZ94" s="193"/>
      <c r="BA94" s="193"/>
      <c r="BB94" s="193"/>
      <c r="BC94" s="193"/>
      <c r="BD94" s="193"/>
      <c r="BE94" s="193"/>
      <c r="BF94" s="193"/>
      <c r="BG94" s="193"/>
      <c r="BH94" s="193"/>
      <c r="BI94" s="193"/>
      <c r="BJ94" s="193"/>
      <c r="BK94" s="193"/>
      <c r="BL94" s="193"/>
      <c r="BM94" s="193"/>
      <c r="BN94" s="193"/>
      <c r="BO94" s="193"/>
      <c r="BP94" s="193"/>
      <c r="BQ94" s="193"/>
      <c r="BR94" s="193"/>
      <c r="BS94" s="193"/>
      <c r="BT94" s="193"/>
      <c r="BU94" s="193"/>
      <c r="BV94" s="193"/>
      <c r="BW94" s="193"/>
      <c r="BX94" s="193"/>
      <c r="BY94" s="193"/>
      <c r="BZ94" s="193"/>
      <c r="CA94" s="193"/>
      <c r="CB94" s="193"/>
      <c r="CC94" s="193"/>
      <c r="CD94" s="193"/>
      <c r="CE94" s="193"/>
      <c r="CF94" s="193"/>
      <c r="CG94" s="193"/>
      <c r="CH94" s="193"/>
      <c r="CI94" s="193"/>
      <c r="CJ94" s="193"/>
      <c r="CK94" s="193"/>
      <c r="CL94" s="193"/>
      <c r="CM94" s="193"/>
      <c r="CN94" s="193"/>
      <c r="CO94" s="193"/>
      <c r="CP94" s="193"/>
      <c r="CQ94" s="193"/>
      <c r="CR94" s="193"/>
      <c r="CS94" s="193"/>
      <c r="CT94" s="193"/>
      <c r="CU94" s="193"/>
      <c r="CV94" s="193"/>
      <c r="CW94" s="193"/>
      <c r="CX94" s="193"/>
      <c r="CY94" s="193"/>
      <c r="CZ94" s="193"/>
      <c r="DA94" s="193"/>
      <c r="DB94" s="193"/>
      <c r="DC94" s="193"/>
      <c r="DD94" s="193"/>
      <c r="DE94" s="193"/>
      <c r="DF94" s="193"/>
      <c r="DG94" s="193"/>
      <c r="DH94" s="193"/>
      <c r="DI94" s="193"/>
      <c r="DJ94" s="193"/>
      <c r="DK94" s="193"/>
      <c r="DL94" s="193"/>
      <c r="DM94" s="193"/>
      <c r="DN94" s="193"/>
      <c r="DO94" s="193"/>
      <c r="DP94" s="193"/>
      <c r="DQ94" s="193"/>
      <c r="DR94" s="193"/>
      <c r="DS94" s="193"/>
      <c r="DT94" s="193"/>
      <c r="DU94" s="193"/>
      <c r="DV94" s="193"/>
      <c r="DW94" s="193"/>
      <c r="DX94" s="193"/>
      <c r="DY94" s="193"/>
      <c r="DZ94" s="193"/>
      <c r="EA94" s="193"/>
      <c r="EB94" s="193"/>
      <c r="EC94" s="193"/>
      <c r="ED94" s="193"/>
      <c r="EE94" s="193"/>
      <c r="EF94" s="193"/>
      <c r="EG94" s="193"/>
      <c r="EH94" s="193"/>
      <c r="EI94" s="193"/>
      <c r="EJ94" s="193"/>
      <c r="EK94" s="193"/>
      <c r="EL94" s="193"/>
      <c r="EM94" s="193"/>
      <c r="EN94" s="193"/>
      <c r="EO94" s="193"/>
      <c r="EP94" s="193"/>
      <c r="EQ94" s="193"/>
      <c r="ER94" s="193"/>
      <c r="ES94" s="193"/>
      <c r="ET94" s="193"/>
      <c r="EU94" s="193"/>
    </row>
    <row r="95" spans="1:151" ht="12.9">
      <c r="A95" s="193"/>
      <c r="B95" s="193"/>
      <c r="C95" s="193"/>
      <c r="D95" s="193"/>
      <c r="E95" s="193"/>
      <c r="F95" s="193"/>
      <c r="G95" s="193"/>
      <c r="H95" s="193"/>
      <c r="I95" s="193"/>
      <c r="J95" s="193"/>
      <c r="K95" s="193"/>
      <c r="L95" s="193"/>
      <c r="M95" s="193"/>
      <c r="N95" s="193"/>
      <c r="O95" s="193"/>
      <c r="P95" s="193"/>
      <c r="Q95" s="193"/>
      <c r="R95" s="193"/>
      <c r="S95" s="193"/>
      <c r="T95" s="193"/>
      <c r="U95" s="193"/>
      <c r="V95" s="193"/>
      <c r="W95" s="193"/>
      <c r="X95" s="193"/>
      <c r="Y95" s="193"/>
      <c r="Z95" s="193"/>
      <c r="AA95" s="193"/>
      <c r="AB95" s="193"/>
      <c r="AC95" s="193"/>
      <c r="AD95" s="193"/>
      <c r="AE95" s="193"/>
      <c r="AF95" s="193"/>
      <c r="AG95" s="193"/>
      <c r="AH95" s="193"/>
      <c r="AI95" s="193"/>
      <c r="AJ95" s="193"/>
      <c r="AK95" s="193"/>
      <c r="AL95" s="193"/>
      <c r="AM95" s="193"/>
      <c r="AN95" s="193"/>
      <c r="AO95" s="193"/>
      <c r="AP95" s="193"/>
      <c r="AQ95" s="193"/>
      <c r="AR95" s="193"/>
      <c r="AS95" s="193"/>
      <c r="AT95" s="193"/>
      <c r="AU95" s="193"/>
      <c r="AV95" s="193"/>
      <c r="AW95" s="193"/>
      <c r="AX95" s="193"/>
      <c r="AY95" s="193"/>
      <c r="AZ95" s="193"/>
      <c r="BA95" s="193"/>
      <c r="BB95" s="193"/>
      <c r="BC95" s="193"/>
      <c r="BD95" s="193"/>
      <c r="BE95" s="193"/>
      <c r="BF95" s="193"/>
      <c r="BG95" s="193"/>
      <c r="BH95" s="193"/>
      <c r="BI95" s="193"/>
      <c r="BJ95" s="193"/>
      <c r="BK95" s="193"/>
      <c r="BL95" s="193"/>
      <c r="BM95" s="193"/>
      <c r="BN95" s="193"/>
      <c r="BO95" s="193"/>
      <c r="BP95" s="193"/>
      <c r="BQ95" s="193"/>
      <c r="BR95" s="193"/>
      <c r="BS95" s="193"/>
      <c r="BT95" s="193"/>
      <c r="BU95" s="193"/>
      <c r="BV95" s="193"/>
      <c r="BW95" s="193"/>
      <c r="BX95" s="193"/>
      <c r="BY95" s="193"/>
      <c r="BZ95" s="193"/>
      <c r="CA95" s="193"/>
      <c r="CB95" s="193"/>
      <c r="CC95" s="193"/>
      <c r="CD95" s="193"/>
      <c r="CE95" s="193"/>
      <c r="CF95" s="193"/>
      <c r="CG95" s="193"/>
      <c r="CH95" s="193"/>
      <c r="CI95" s="193"/>
      <c r="CJ95" s="193"/>
      <c r="CK95" s="193"/>
      <c r="CL95" s="193"/>
      <c r="CM95" s="193"/>
      <c r="CN95" s="193"/>
      <c r="CO95" s="193"/>
      <c r="CP95" s="193"/>
      <c r="CQ95" s="193"/>
      <c r="CR95" s="193"/>
      <c r="CS95" s="193"/>
      <c r="CT95" s="193"/>
      <c r="CU95" s="193"/>
      <c r="CV95" s="193"/>
      <c r="CW95" s="193"/>
      <c r="CX95" s="193"/>
      <c r="CY95" s="193"/>
      <c r="CZ95" s="193"/>
      <c r="DA95" s="193"/>
      <c r="DB95" s="193"/>
      <c r="DC95" s="193"/>
      <c r="DD95" s="193"/>
      <c r="DE95" s="193"/>
      <c r="DF95" s="193"/>
      <c r="DG95" s="193"/>
      <c r="DH95" s="193"/>
      <c r="DI95" s="193"/>
      <c r="DJ95" s="193"/>
      <c r="DK95" s="193"/>
      <c r="DL95" s="193"/>
      <c r="DM95" s="193"/>
      <c r="DN95" s="193"/>
      <c r="DO95" s="193"/>
      <c r="DP95" s="193"/>
      <c r="DQ95" s="193"/>
      <c r="DR95" s="193"/>
      <c r="DS95" s="193"/>
      <c r="DT95" s="193"/>
      <c r="DU95" s="193"/>
      <c r="DV95" s="193"/>
      <c r="DW95" s="193"/>
      <c r="DX95" s="193"/>
      <c r="DY95" s="193"/>
      <c r="DZ95" s="193"/>
      <c r="EA95" s="193"/>
      <c r="EB95" s="193"/>
      <c r="EC95" s="193"/>
      <c r="ED95" s="193"/>
      <c r="EE95" s="193"/>
      <c r="EF95" s="193"/>
      <c r="EG95" s="193"/>
      <c r="EH95" s="193"/>
      <c r="EI95" s="193"/>
      <c r="EJ95" s="193"/>
      <c r="EK95" s="193"/>
      <c r="EL95" s="193"/>
      <c r="EM95" s="193"/>
      <c r="EN95" s="193"/>
      <c r="EO95" s="193"/>
      <c r="EP95" s="193"/>
      <c r="EQ95" s="193"/>
      <c r="ER95" s="193"/>
      <c r="ES95" s="193"/>
      <c r="ET95" s="193"/>
      <c r="EU95" s="193"/>
    </row>
    <row r="96" spans="1:151" ht="12.9">
      <c r="A96" s="193"/>
      <c r="B96" s="193"/>
      <c r="C96" s="193"/>
      <c r="D96" s="193"/>
      <c r="E96" s="193"/>
      <c r="F96" s="193"/>
      <c r="G96" s="193"/>
      <c r="H96" s="193"/>
      <c r="I96" s="193"/>
      <c r="J96" s="193"/>
      <c r="K96" s="193"/>
      <c r="L96" s="193"/>
      <c r="M96" s="193"/>
      <c r="N96" s="193"/>
      <c r="O96" s="193"/>
      <c r="P96" s="193"/>
      <c r="Q96" s="193"/>
      <c r="R96" s="193"/>
      <c r="S96" s="193"/>
      <c r="T96" s="193"/>
      <c r="U96" s="193"/>
      <c r="V96" s="193"/>
      <c r="W96" s="193"/>
      <c r="X96" s="193"/>
      <c r="Y96" s="193"/>
      <c r="Z96" s="193"/>
      <c r="AA96" s="193"/>
      <c r="AB96" s="193"/>
      <c r="AC96" s="193"/>
      <c r="AD96" s="193"/>
      <c r="AE96" s="193"/>
      <c r="AF96" s="193"/>
      <c r="AG96" s="193"/>
      <c r="AH96" s="193"/>
      <c r="AI96" s="193"/>
      <c r="AJ96" s="193"/>
      <c r="AK96" s="193"/>
      <c r="AL96" s="193"/>
      <c r="AM96" s="193"/>
      <c r="AN96" s="193"/>
      <c r="AO96" s="193"/>
      <c r="AP96" s="193"/>
      <c r="AQ96" s="193"/>
      <c r="AR96" s="193"/>
      <c r="AS96" s="193"/>
      <c r="AT96" s="193"/>
      <c r="AU96" s="193"/>
      <c r="AV96" s="193"/>
      <c r="AW96" s="193"/>
      <c r="AX96" s="193"/>
      <c r="AY96" s="193"/>
      <c r="AZ96" s="193"/>
      <c r="BA96" s="193"/>
      <c r="BB96" s="193"/>
      <c r="BC96" s="193"/>
      <c r="BD96" s="193"/>
      <c r="BE96" s="193"/>
      <c r="BF96" s="193"/>
      <c r="BG96" s="193"/>
      <c r="BH96" s="193"/>
      <c r="BI96" s="193"/>
      <c r="BJ96" s="193"/>
      <c r="BK96" s="193"/>
      <c r="BL96" s="193"/>
      <c r="BM96" s="193"/>
      <c r="BN96" s="193"/>
      <c r="BO96" s="193"/>
      <c r="BP96" s="193"/>
      <c r="BQ96" s="193"/>
      <c r="BR96" s="193"/>
      <c r="BS96" s="193"/>
      <c r="BT96" s="193"/>
      <c r="BU96" s="193"/>
      <c r="BV96" s="193"/>
      <c r="BW96" s="193"/>
      <c r="BX96" s="193"/>
      <c r="BY96" s="193"/>
      <c r="BZ96" s="193"/>
      <c r="CA96" s="193"/>
      <c r="CB96" s="193"/>
      <c r="CC96" s="193"/>
      <c r="CD96" s="193"/>
      <c r="CE96" s="193"/>
      <c r="CF96" s="193"/>
      <c r="CG96" s="193"/>
      <c r="CH96" s="193"/>
      <c r="CI96" s="193"/>
      <c r="CJ96" s="193"/>
      <c r="CK96" s="193"/>
      <c r="CL96" s="193"/>
      <c r="CM96" s="193"/>
      <c r="CN96" s="193"/>
      <c r="CO96" s="193"/>
      <c r="CP96" s="193"/>
      <c r="CQ96" s="193"/>
      <c r="CR96" s="193"/>
      <c r="CS96" s="193"/>
      <c r="CT96" s="193"/>
      <c r="CU96" s="193"/>
      <c r="CV96" s="193"/>
      <c r="CW96" s="193"/>
      <c r="CX96" s="193"/>
      <c r="CY96" s="193"/>
      <c r="CZ96" s="193"/>
      <c r="DA96" s="193"/>
      <c r="DB96" s="193"/>
      <c r="DC96" s="193"/>
      <c r="DD96" s="193"/>
      <c r="DE96" s="193"/>
      <c r="DF96" s="193"/>
      <c r="DG96" s="193"/>
      <c r="DH96" s="193"/>
      <c r="DI96" s="193"/>
      <c r="DJ96" s="193"/>
      <c r="DK96" s="193"/>
      <c r="DL96" s="193"/>
      <c r="DM96" s="193"/>
      <c r="DN96" s="193"/>
      <c r="DO96" s="193"/>
      <c r="DP96" s="193"/>
      <c r="DQ96" s="193"/>
      <c r="DR96" s="193"/>
      <c r="DS96" s="193"/>
      <c r="DT96" s="193"/>
      <c r="DU96" s="193"/>
      <c r="DV96" s="193"/>
      <c r="DW96" s="193"/>
      <c r="DX96" s="193"/>
      <c r="DY96" s="193"/>
      <c r="DZ96" s="193"/>
      <c r="EA96" s="193"/>
      <c r="EB96" s="193"/>
      <c r="EC96" s="193"/>
      <c r="ED96" s="193"/>
      <c r="EE96" s="193"/>
      <c r="EF96" s="193"/>
      <c r="EG96" s="193"/>
      <c r="EH96" s="193"/>
      <c r="EI96" s="193"/>
      <c r="EJ96" s="193"/>
      <c r="EK96" s="193"/>
      <c r="EL96" s="193"/>
      <c r="EM96" s="193"/>
      <c r="EN96" s="193"/>
      <c r="EO96" s="193"/>
      <c r="EP96" s="193"/>
      <c r="EQ96" s="193"/>
      <c r="ER96" s="193"/>
      <c r="ES96" s="193"/>
      <c r="ET96" s="193"/>
      <c r="EU96" s="193"/>
    </row>
    <row r="97" spans="1:151" ht="12.9">
      <c r="A97" s="193"/>
      <c r="B97" s="193"/>
      <c r="C97" s="193"/>
      <c r="D97" s="193"/>
      <c r="E97" s="193"/>
      <c r="F97" s="193"/>
      <c r="G97" s="193"/>
      <c r="H97" s="193"/>
      <c r="I97" s="193"/>
      <c r="J97" s="193"/>
      <c r="K97" s="193"/>
      <c r="L97" s="193"/>
      <c r="M97" s="193"/>
      <c r="N97" s="193"/>
      <c r="O97" s="193"/>
      <c r="P97" s="193"/>
      <c r="Q97" s="193"/>
      <c r="R97" s="193"/>
      <c r="S97" s="193"/>
      <c r="T97" s="193"/>
      <c r="U97" s="193"/>
      <c r="V97" s="193"/>
      <c r="W97" s="193"/>
      <c r="X97" s="193"/>
      <c r="Y97" s="193"/>
      <c r="Z97" s="193"/>
      <c r="AA97" s="193"/>
      <c r="AB97" s="193"/>
      <c r="AC97" s="193"/>
      <c r="AD97" s="193"/>
      <c r="AE97" s="193"/>
      <c r="AF97" s="193"/>
      <c r="AG97" s="193"/>
      <c r="AH97" s="193"/>
      <c r="AI97" s="193"/>
      <c r="AJ97" s="193"/>
      <c r="AK97" s="193"/>
      <c r="AL97" s="193"/>
      <c r="AM97" s="193"/>
      <c r="AN97" s="193"/>
      <c r="AO97" s="193"/>
      <c r="AP97" s="193"/>
      <c r="AQ97" s="193"/>
      <c r="AR97" s="193"/>
      <c r="AS97" s="193"/>
      <c r="AT97" s="193"/>
      <c r="AU97" s="193"/>
      <c r="AV97" s="193"/>
      <c r="AW97" s="193"/>
      <c r="AX97" s="193"/>
      <c r="AY97" s="193"/>
      <c r="AZ97" s="193"/>
      <c r="BA97" s="193"/>
      <c r="BB97" s="193"/>
      <c r="BC97" s="193"/>
      <c r="BD97" s="193"/>
      <c r="BE97" s="193"/>
      <c r="BF97" s="193"/>
      <c r="BG97" s="193"/>
      <c r="BH97" s="193"/>
      <c r="BI97" s="193"/>
      <c r="BJ97" s="193"/>
      <c r="BK97" s="193"/>
      <c r="BL97" s="193"/>
      <c r="BM97" s="193"/>
      <c r="BN97" s="193"/>
      <c r="BO97" s="193"/>
      <c r="BP97" s="193"/>
      <c r="BQ97" s="193"/>
      <c r="BR97" s="193"/>
      <c r="BS97" s="193"/>
      <c r="BT97" s="193"/>
      <c r="BU97" s="193"/>
      <c r="BV97" s="193"/>
      <c r="BW97" s="193"/>
      <c r="BX97" s="193"/>
      <c r="BY97" s="193"/>
      <c r="BZ97" s="193"/>
      <c r="CA97" s="193"/>
      <c r="CB97" s="193"/>
      <c r="CC97" s="193"/>
      <c r="CD97" s="193"/>
      <c r="CE97" s="193"/>
      <c r="CF97" s="193"/>
      <c r="CG97" s="193"/>
      <c r="CH97" s="193"/>
      <c r="CI97" s="193"/>
      <c r="CJ97" s="193"/>
      <c r="CK97" s="193"/>
      <c r="CL97" s="193"/>
      <c r="CM97" s="193"/>
      <c r="CN97" s="193"/>
      <c r="CO97" s="193"/>
      <c r="CP97" s="193"/>
      <c r="CQ97" s="193"/>
      <c r="CR97" s="193"/>
      <c r="CS97" s="193"/>
      <c r="CT97" s="193"/>
      <c r="CU97" s="193"/>
      <c r="CV97" s="193"/>
      <c r="CW97" s="193"/>
      <c r="CX97" s="193"/>
      <c r="CY97" s="193"/>
      <c r="CZ97" s="193"/>
      <c r="DA97" s="193"/>
      <c r="DB97" s="193"/>
      <c r="DC97" s="193"/>
      <c r="DD97" s="193"/>
      <c r="DE97" s="193"/>
      <c r="DF97" s="193"/>
      <c r="DG97" s="193"/>
      <c r="DH97" s="193"/>
      <c r="DI97" s="193"/>
      <c r="DJ97" s="193"/>
      <c r="DK97" s="193"/>
      <c r="DL97" s="193"/>
      <c r="DM97" s="193"/>
      <c r="DN97" s="193"/>
      <c r="DO97" s="193"/>
      <c r="DP97" s="193"/>
      <c r="DQ97" s="193"/>
      <c r="DR97" s="193"/>
      <c r="DS97" s="193"/>
      <c r="DT97" s="193"/>
      <c r="DU97" s="193"/>
      <c r="DV97" s="193"/>
      <c r="DW97" s="193"/>
      <c r="DX97" s="193"/>
      <c r="DY97" s="193"/>
      <c r="DZ97" s="193"/>
      <c r="EA97" s="193"/>
      <c r="EB97" s="193"/>
      <c r="EC97" s="193"/>
      <c r="ED97" s="193"/>
      <c r="EE97" s="193"/>
      <c r="EF97" s="193"/>
      <c r="EG97" s="193"/>
      <c r="EH97" s="193"/>
      <c r="EI97" s="193"/>
      <c r="EJ97" s="193"/>
      <c r="EK97" s="193"/>
      <c r="EL97" s="193"/>
      <c r="EM97" s="193"/>
      <c r="EN97" s="193"/>
      <c r="EO97" s="193"/>
      <c r="EP97" s="193"/>
      <c r="EQ97" s="193"/>
      <c r="ER97" s="193"/>
      <c r="ES97" s="193"/>
      <c r="ET97" s="193"/>
      <c r="EU97" s="193"/>
    </row>
    <row r="98" spans="1:151" ht="12.9">
      <c r="A98" s="193"/>
      <c r="B98" s="193"/>
      <c r="C98" s="193"/>
      <c r="D98" s="193"/>
      <c r="E98" s="193"/>
      <c r="F98" s="193"/>
      <c r="G98" s="193"/>
      <c r="H98" s="193"/>
      <c r="I98" s="193"/>
      <c r="J98" s="193"/>
      <c r="K98" s="193"/>
      <c r="L98" s="193"/>
      <c r="M98" s="193"/>
      <c r="N98" s="193"/>
      <c r="O98" s="193"/>
      <c r="P98" s="193"/>
      <c r="Q98" s="193"/>
      <c r="R98" s="193"/>
      <c r="S98" s="193"/>
      <c r="T98" s="193"/>
      <c r="U98" s="193"/>
      <c r="V98" s="193"/>
      <c r="W98" s="193"/>
      <c r="X98" s="193"/>
      <c r="Y98" s="193"/>
      <c r="Z98" s="193"/>
      <c r="AA98" s="193"/>
      <c r="AB98" s="193"/>
      <c r="AC98" s="193"/>
      <c r="AD98" s="193"/>
      <c r="AE98" s="193"/>
      <c r="AF98" s="193"/>
      <c r="AG98" s="193"/>
      <c r="AH98" s="193"/>
      <c r="AI98" s="193"/>
      <c r="AJ98" s="193"/>
      <c r="AK98" s="193"/>
      <c r="AL98" s="193"/>
      <c r="AM98" s="193"/>
      <c r="AN98" s="193"/>
      <c r="AO98" s="193"/>
      <c r="AP98" s="193"/>
      <c r="AQ98" s="193"/>
      <c r="AR98" s="193"/>
      <c r="AS98" s="193"/>
      <c r="AT98" s="193"/>
      <c r="AU98" s="193"/>
      <c r="AV98" s="193"/>
      <c r="AW98" s="193"/>
      <c r="AX98" s="193"/>
      <c r="AY98" s="193"/>
      <c r="AZ98" s="193"/>
      <c r="BA98" s="193"/>
      <c r="BB98" s="193"/>
      <c r="BC98" s="193"/>
      <c r="BD98" s="193"/>
      <c r="BE98" s="193"/>
      <c r="BF98" s="193"/>
      <c r="BG98" s="193"/>
      <c r="BH98" s="193"/>
      <c r="BI98" s="193"/>
      <c r="BJ98" s="193"/>
      <c r="BK98" s="193"/>
      <c r="BL98" s="193"/>
      <c r="BM98" s="193"/>
      <c r="BN98" s="193"/>
      <c r="BO98" s="193"/>
      <c r="BP98" s="193"/>
      <c r="BQ98" s="193"/>
      <c r="BR98" s="193"/>
      <c r="BS98" s="193"/>
      <c r="BT98" s="193"/>
      <c r="BU98" s="193"/>
      <c r="BV98" s="193"/>
      <c r="BW98" s="193"/>
      <c r="BX98" s="193"/>
      <c r="BY98" s="193"/>
      <c r="BZ98" s="193"/>
      <c r="CA98" s="193"/>
      <c r="CB98" s="193"/>
      <c r="CC98" s="193"/>
      <c r="CD98" s="193"/>
      <c r="CE98" s="193"/>
      <c r="CF98" s="193"/>
      <c r="CG98" s="193"/>
      <c r="CH98" s="193"/>
      <c r="CI98" s="193"/>
      <c r="CJ98" s="193"/>
      <c r="CK98" s="193"/>
      <c r="CL98" s="193"/>
      <c r="CM98" s="193"/>
      <c r="CN98" s="193"/>
      <c r="CO98" s="193"/>
      <c r="CP98" s="193"/>
      <c r="CQ98" s="193"/>
      <c r="CR98" s="193"/>
      <c r="CS98" s="193"/>
      <c r="CT98" s="193"/>
      <c r="CU98" s="193"/>
      <c r="CV98" s="193"/>
      <c r="CW98" s="193"/>
      <c r="CX98" s="193"/>
      <c r="CY98" s="193"/>
      <c r="CZ98" s="193"/>
      <c r="DA98" s="193"/>
      <c r="DB98" s="193"/>
      <c r="DC98" s="193"/>
      <c r="DD98" s="193"/>
      <c r="DE98" s="193"/>
      <c r="DF98" s="193"/>
      <c r="DG98" s="193"/>
      <c r="DH98" s="193"/>
      <c r="DI98" s="193"/>
      <c r="DJ98" s="193"/>
      <c r="DK98" s="193"/>
      <c r="DL98" s="193"/>
      <c r="DM98" s="193"/>
      <c r="DN98" s="193"/>
      <c r="DO98" s="193"/>
      <c r="DP98" s="193"/>
      <c r="DQ98" s="193"/>
      <c r="DR98" s="193"/>
      <c r="DS98" s="193"/>
      <c r="DT98" s="193"/>
      <c r="DU98" s="193"/>
      <c r="DV98" s="193"/>
      <c r="DW98" s="193"/>
      <c r="DX98" s="193"/>
      <c r="DY98" s="193"/>
      <c r="DZ98" s="193"/>
      <c r="EA98" s="193"/>
      <c r="EB98" s="193"/>
      <c r="EC98" s="193"/>
      <c r="ED98" s="193"/>
      <c r="EE98" s="193"/>
      <c r="EF98" s="193"/>
      <c r="EG98" s="193"/>
      <c r="EH98" s="193"/>
      <c r="EI98" s="193"/>
      <c r="EJ98" s="193"/>
      <c r="EK98" s="193"/>
      <c r="EL98" s="193"/>
      <c r="EM98" s="193"/>
      <c r="EN98" s="193"/>
      <c r="EO98" s="193"/>
      <c r="EP98" s="193"/>
      <c r="EQ98" s="193"/>
      <c r="ER98" s="193"/>
      <c r="ES98" s="193"/>
      <c r="ET98" s="193"/>
      <c r="EU98" s="193"/>
    </row>
    <row r="99" spans="1:151" ht="12.9">
      <c r="A99" s="193"/>
      <c r="B99" s="193"/>
      <c r="C99" s="193"/>
      <c r="D99" s="193"/>
      <c r="E99" s="193"/>
      <c r="F99" s="193"/>
      <c r="G99" s="193"/>
      <c r="H99" s="193"/>
      <c r="I99" s="193"/>
      <c r="J99" s="193"/>
      <c r="K99" s="193"/>
      <c r="L99" s="193"/>
      <c r="M99" s="193"/>
      <c r="N99" s="193"/>
      <c r="O99" s="193"/>
      <c r="P99" s="193"/>
      <c r="Q99" s="193"/>
      <c r="R99" s="193"/>
      <c r="S99" s="193"/>
      <c r="T99" s="193"/>
      <c r="U99" s="193"/>
      <c r="V99" s="193"/>
      <c r="W99" s="193"/>
      <c r="X99" s="193"/>
      <c r="Y99" s="193"/>
      <c r="Z99" s="193"/>
      <c r="AA99" s="193"/>
      <c r="AB99" s="193"/>
      <c r="AC99" s="193"/>
      <c r="AD99" s="193"/>
      <c r="AE99" s="193"/>
      <c r="AF99" s="193"/>
      <c r="AG99" s="193"/>
      <c r="AH99" s="193"/>
      <c r="AI99" s="193"/>
      <c r="AJ99" s="193"/>
      <c r="AK99" s="193"/>
      <c r="AL99" s="193"/>
      <c r="AM99" s="193"/>
      <c r="AN99" s="193"/>
      <c r="AO99" s="193"/>
      <c r="AP99" s="193"/>
      <c r="AQ99" s="193"/>
      <c r="AR99" s="193"/>
      <c r="AS99" s="193"/>
      <c r="AT99" s="193"/>
      <c r="AU99" s="193"/>
      <c r="AV99" s="193"/>
      <c r="AW99" s="193"/>
      <c r="AX99" s="193"/>
      <c r="AY99" s="193"/>
      <c r="AZ99" s="193"/>
      <c r="BA99" s="193"/>
      <c r="BB99" s="193"/>
      <c r="BC99" s="193"/>
      <c r="BD99" s="193"/>
      <c r="BE99" s="193"/>
      <c r="BF99" s="193"/>
      <c r="BG99" s="193"/>
      <c r="BH99" s="193"/>
      <c r="BI99" s="193"/>
      <c r="BJ99" s="193"/>
      <c r="BK99" s="193"/>
      <c r="BL99" s="193"/>
      <c r="BM99" s="193"/>
      <c r="BN99" s="193"/>
      <c r="BO99" s="193"/>
      <c r="BP99" s="193"/>
      <c r="BQ99" s="193"/>
      <c r="BR99" s="193"/>
      <c r="BS99" s="193"/>
      <c r="BT99" s="193"/>
      <c r="BU99" s="193"/>
      <c r="BV99" s="193"/>
      <c r="BW99" s="193"/>
      <c r="BX99" s="193"/>
      <c r="BY99" s="193"/>
      <c r="BZ99" s="193"/>
      <c r="CA99" s="193"/>
      <c r="CB99" s="193"/>
      <c r="CC99" s="193"/>
      <c r="CD99" s="193"/>
      <c r="CE99" s="193"/>
      <c r="CF99" s="193"/>
      <c r="CG99" s="193"/>
      <c r="CH99" s="193"/>
      <c r="CI99" s="193"/>
      <c r="CJ99" s="193"/>
      <c r="CK99" s="193"/>
      <c r="CL99" s="193"/>
      <c r="CM99" s="193"/>
      <c r="CN99" s="193"/>
      <c r="CO99" s="193"/>
      <c r="CP99" s="193"/>
      <c r="CQ99" s="193"/>
      <c r="CR99" s="193"/>
      <c r="CS99" s="193"/>
      <c r="CT99" s="193"/>
      <c r="CU99" s="193"/>
      <c r="CV99" s="193"/>
      <c r="CW99" s="193"/>
      <c r="CX99" s="193"/>
      <c r="CY99" s="193"/>
      <c r="CZ99" s="193"/>
      <c r="DA99" s="193"/>
      <c r="DB99" s="193"/>
      <c r="DC99" s="193"/>
      <c r="DD99" s="193"/>
      <c r="DE99" s="193"/>
      <c r="DF99" s="193"/>
      <c r="DG99" s="193"/>
      <c r="DH99" s="193"/>
      <c r="DI99" s="193"/>
      <c r="DJ99" s="193"/>
      <c r="DK99" s="193"/>
      <c r="DL99" s="193"/>
      <c r="DM99" s="193"/>
      <c r="DN99" s="193"/>
      <c r="DO99" s="193"/>
      <c r="DP99" s="193"/>
      <c r="DQ99" s="193"/>
      <c r="DR99" s="193"/>
      <c r="DS99" s="193"/>
      <c r="DT99" s="193"/>
      <c r="DU99" s="193"/>
      <c r="DV99" s="193"/>
      <c r="DW99" s="193"/>
      <c r="DX99" s="193"/>
      <c r="DY99" s="193"/>
      <c r="DZ99" s="193"/>
      <c r="EA99" s="193"/>
      <c r="EB99" s="193"/>
      <c r="EC99" s="193"/>
      <c r="ED99" s="193"/>
      <c r="EE99" s="193"/>
      <c r="EF99" s="193"/>
      <c r="EG99" s="193"/>
      <c r="EH99" s="193"/>
      <c r="EI99" s="193"/>
      <c r="EJ99" s="193"/>
      <c r="EK99" s="193"/>
      <c r="EL99" s="193"/>
      <c r="EM99" s="193"/>
      <c r="EN99" s="193"/>
      <c r="EO99" s="193"/>
      <c r="EP99" s="193"/>
      <c r="EQ99" s="193"/>
      <c r="ER99" s="193"/>
      <c r="ES99" s="193"/>
      <c r="ET99" s="193"/>
      <c r="EU99" s="193"/>
    </row>
    <row r="100" spans="1:151" ht="12.9">
      <c r="A100" s="193"/>
      <c r="B100" s="193"/>
      <c r="C100" s="193"/>
      <c r="D100" s="193"/>
      <c r="E100" s="193"/>
      <c r="F100" s="193"/>
      <c r="G100" s="193"/>
      <c r="H100" s="193"/>
      <c r="I100" s="193"/>
      <c r="J100" s="193"/>
      <c r="K100" s="193"/>
      <c r="L100" s="193"/>
      <c r="M100" s="193"/>
      <c r="N100" s="193"/>
      <c r="O100" s="193"/>
      <c r="P100" s="193"/>
      <c r="Q100" s="193"/>
      <c r="R100" s="193"/>
      <c r="S100" s="193"/>
      <c r="T100" s="193"/>
      <c r="U100" s="193"/>
      <c r="V100" s="193"/>
      <c r="W100" s="193"/>
      <c r="X100" s="193"/>
      <c r="Y100" s="193"/>
      <c r="Z100" s="193"/>
      <c r="AA100" s="193"/>
      <c r="AB100" s="193"/>
      <c r="AC100" s="193"/>
      <c r="AD100" s="193"/>
      <c r="AE100" s="193"/>
      <c r="AF100" s="193"/>
      <c r="AG100" s="193"/>
      <c r="AH100" s="193"/>
      <c r="AI100" s="193"/>
      <c r="AJ100" s="193"/>
      <c r="AK100" s="193"/>
      <c r="AL100" s="193"/>
      <c r="AM100" s="193"/>
      <c r="AN100" s="193"/>
      <c r="AO100" s="193"/>
      <c r="AP100" s="193"/>
      <c r="AQ100" s="193"/>
      <c r="AR100" s="193"/>
      <c r="AS100" s="193"/>
      <c r="AT100" s="193"/>
      <c r="AU100" s="193"/>
      <c r="AV100" s="193"/>
      <c r="AW100" s="193"/>
      <c r="AX100" s="193"/>
      <c r="AY100" s="193"/>
      <c r="AZ100" s="193"/>
      <c r="BA100" s="193"/>
      <c r="BB100" s="193"/>
      <c r="BC100" s="193"/>
      <c r="BD100" s="193"/>
      <c r="BE100" s="193"/>
      <c r="BF100" s="193"/>
      <c r="BG100" s="193"/>
      <c r="BH100" s="193"/>
      <c r="BI100" s="193"/>
      <c r="BJ100" s="193"/>
      <c r="BK100" s="193"/>
      <c r="BL100" s="193"/>
      <c r="BM100" s="193"/>
      <c r="BN100" s="193"/>
      <c r="BO100" s="193"/>
      <c r="BP100" s="193"/>
      <c r="BQ100" s="193"/>
      <c r="BR100" s="193"/>
      <c r="BS100" s="193"/>
      <c r="BT100" s="193"/>
      <c r="BU100" s="193"/>
      <c r="BV100" s="193"/>
      <c r="BW100" s="193"/>
      <c r="BX100" s="193"/>
      <c r="BY100" s="193"/>
      <c r="BZ100" s="193"/>
      <c r="CA100" s="193"/>
      <c r="CB100" s="193"/>
      <c r="CC100" s="193"/>
      <c r="CD100" s="193"/>
      <c r="CE100" s="193"/>
      <c r="CF100" s="193"/>
      <c r="CG100" s="193"/>
      <c r="CH100" s="193"/>
      <c r="CI100" s="193"/>
      <c r="CJ100" s="193"/>
      <c r="CK100" s="193"/>
      <c r="CL100" s="193"/>
      <c r="CM100" s="193"/>
      <c r="CN100" s="193"/>
      <c r="CO100" s="193"/>
      <c r="CP100" s="193"/>
      <c r="CQ100" s="193"/>
      <c r="CR100" s="193"/>
      <c r="CS100" s="193"/>
      <c r="CT100" s="193"/>
      <c r="CU100" s="193"/>
      <c r="CV100" s="193"/>
      <c r="CW100" s="193"/>
      <c r="CX100" s="193"/>
      <c r="CY100" s="193"/>
      <c r="CZ100" s="193"/>
      <c r="DA100" s="193"/>
      <c r="DB100" s="193"/>
      <c r="DC100" s="193"/>
      <c r="DD100" s="193"/>
      <c r="DE100" s="193"/>
      <c r="DF100" s="193"/>
      <c r="DG100" s="193"/>
      <c r="DH100" s="193"/>
      <c r="DI100" s="193"/>
      <c r="DJ100" s="193"/>
      <c r="DK100" s="193"/>
      <c r="DL100" s="193"/>
      <c r="DM100" s="193"/>
      <c r="DN100" s="193"/>
      <c r="DO100" s="193"/>
      <c r="DP100" s="193"/>
      <c r="DQ100" s="193"/>
      <c r="DR100" s="193"/>
      <c r="DS100" s="193"/>
      <c r="DT100" s="193"/>
      <c r="DU100" s="193"/>
      <c r="DV100" s="193"/>
      <c r="DW100" s="193"/>
      <c r="DX100" s="193"/>
      <c r="DY100" s="193"/>
      <c r="DZ100" s="193"/>
      <c r="EA100" s="193"/>
      <c r="EB100" s="193"/>
      <c r="EC100" s="193"/>
      <c r="ED100" s="193"/>
      <c r="EE100" s="193"/>
      <c r="EF100" s="193"/>
      <c r="EG100" s="193"/>
      <c r="EH100" s="193"/>
      <c r="EI100" s="193"/>
      <c r="EJ100" s="193"/>
      <c r="EK100" s="193"/>
      <c r="EL100" s="193"/>
      <c r="EM100" s="193"/>
      <c r="EN100" s="193"/>
      <c r="EO100" s="193"/>
      <c r="EP100" s="193"/>
      <c r="EQ100" s="193"/>
      <c r="ER100" s="193"/>
      <c r="ES100" s="193"/>
      <c r="ET100" s="193"/>
      <c r="EU100" s="193"/>
    </row>
    <row r="101" spans="1:151" ht="12.9">
      <c r="A101" s="193"/>
      <c r="B101" s="193"/>
      <c r="C101" s="193"/>
      <c r="D101" s="193"/>
      <c r="E101" s="193"/>
      <c r="F101" s="193"/>
      <c r="G101" s="193"/>
      <c r="H101" s="193"/>
      <c r="I101" s="193"/>
      <c r="J101" s="193"/>
      <c r="K101" s="193"/>
      <c r="L101" s="193"/>
      <c r="M101" s="193"/>
      <c r="N101" s="193"/>
      <c r="O101" s="193"/>
      <c r="P101" s="193"/>
      <c r="Q101" s="193"/>
      <c r="R101" s="193"/>
      <c r="S101" s="193"/>
      <c r="T101" s="193"/>
      <c r="U101" s="193"/>
      <c r="V101" s="193"/>
      <c r="W101" s="193"/>
      <c r="X101" s="193"/>
      <c r="Y101" s="193"/>
      <c r="Z101" s="193"/>
      <c r="AA101" s="193"/>
      <c r="AB101" s="193"/>
      <c r="AC101" s="193"/>
      <c r="AD101" s="193"/>
      <c r="AE101" s="193"/>
      <c r="AF101" s="193"/>
      <c r="AG101" s="193"/>
      <c r="AH101" s="193"/>
      <c r="AI101" s="193"/>
      <c r="AJ101" s="193"/>
      <c r="AK101" s="193"/>
      <c r="AL101" s="193"/>
      <c r="AM101" s="193"/>
      <c r="AN101" s="193"/>
      <c r="AO101" s="193"/>
      <c r="AP101" s="193"/>
      <c r="AQ101" s="193"/>
      <c r="AR101" s="193"/>
      <c r="AS101" s="193"/>
      <c r="AT101" s="193"/>
      <c r="AU101" s="193"/>
      <c r="AV101" s="193"/>
      <c r="AW101" s="193"/>
      <c r="AX101" s="193"/>
      <c r="AY101" s="193"/>
      <c r="AZ101" s="193"/>
      <c r="BA101" s="193"/>
      <c r="BB101" s="193"/>
      <c r="BC101" s="193"/>
      <c r="BD101" s="193"/>
      <c r="BE101" s="193"/>
      <c r="BF101" s="193"/>
      <c r="BG101" s="193"/>
      <c r="BH101" s="193"/>
      <c r="BI101" s="193"/>
      <c r="BJ101" s="193"/>
      <c r="BK101" s="193"/>
      <c r="BL101" s="193"/>
      <c r="BM101" s="193"/>
      <c r="BN101" s="193"/>
      <c r="BO101" s="193"/>
      <c r="BP101" s="193"/>
      <c r="BQ101" s="193"/>
      <c r="BR101" s="193"/>
      <c r="BS101" s="193"/>
      <c r="BT101" s="193"/>
      <c r="BU101" s="193"/>
      <c r="BV101" s="193"/>
      <c r="BW101" s="193"/>
      <c r="BX101" s="193"/>
      <c r="BY101" s="193"/>
      <c r="BZ101" s="193"/>
      <c r="CA101" s="193"/>
      <c r="CB101" s="193"/>
      <c r="CC101" s="193"/>
      <c r="CD101" s="193"/>
      <c r="CE101" s="193"/>
      <c r="CF101" s="193"/>
      <c r="CG101" s="193"/>
      <c r="CH101" s="193"/>
      <c r="CI101" s="193"/>
      <c r="CJ101" s="193"/>
      <c r="CK101" s="193"/>
      <c r="CL101" s="193"/>
      <c r="CM101" s="193"/>
      <c r="CN101" s="193"/>
      <c r="CO101" s="193"/>
      <c r="CP101" s="193"/>
      <c r="CQ101" s="193"/>
      <c r="CR101" s="193"/>
      <c r="CS101" s="193"/>
      <c r="CT101" s="193"/>
      <c r="CU101" s="193"/>
      <c r="CV101" s="193"/>
      <c r="CW101" s="193"/>
      <c r="CX101" s="193"/>
      <c r="CY101" s="193"/>
      <c r="CZ101" s="193"/>
      <c r="DA101" s="193"/>
      <c r="DB101" s="193"/>
      <c r="DC101" s="193"/>
      <c r="DD101" s="193"/>
      <c r="DE101" s="193"/>
      <c r="DF101" s="193"/>
      <c r="DG101" s="193"/>
      <c r="DH101" s="193"/>
      <c r="DI101" s="193"/>
      <c r="DJ101" s="193"/>
      <c r="DK101" s="193"/>
      <c r="DL101" s="193"/>
      <c r="DM101" s="193"/>
      <c r="DN101" s="193"/>
      <c r="DO101" s="193"/>
      <c r="DP101" s="193"/>
      <c r="DQ101" s="193"/>
      <c r="DR101" s="193"/>
      <c r="DS101" s="193"/>
      <c r="DT101" s="193"/>
      <c r="DU101" s="193"/>
      <c r="DV101" s="193"/>
      <c r="DW101" s="193"/>
      <c r="DX101" s="193"/>
      <c r="DY101" s="193"/>
      <c r="DZ101" s="193"/>
      <c r="EA101" s="193"/>
      <c r="EB101" s="193"/>
      <c r="EC101" s="193"/>
      <c r="ED101" s="193"/>
      <c r="EE101" s="193"/>
      <c r="EF101" s="193"/>
      <c r="EG101" s="193"/>
      <c r="EH101" s="193"/>
      <c r="EI101" s="193"/>
      <c r="EJ101" s="193"/>
      <c r="EK101" s="193"/>
      <c r="EL101" s="193"/>
      <c r="EM101" s="193"/>
      <c r="EN101" s="193"/>
      <c r="EO101" s="193"/>
      <c r="EP101" s="193"/>
      <c r="EQ101" s="193"/>
      <c r="ER101" s="193"/>
      <c r="ES101" s="193"/>
      <c r="ET101" s="193"/>
      <c r="EU101" s="193"/>
    </row>
    <row r="102" spans="1:151" ht="12.9">
      <c r="A102" s="193"/>
      <c r="B102" s="193"/>
      <c r="C102" s="193"/>
      <c r="D102" s="193"/>
      <c r="E102" s="193"/>
      <c r="F102" s="193"/>
      <c r="G102" s="193"/>
      <c r="H102" s="193"/>
      <c r="I102" s="193"/>
      <c r="J102" s="193"/>
      <c r="K102" s="193"/>
      <c r="L102" s="193"/>
      <c r="M102" s="193"/>
      <c r="N102" s="193"/>
      <c r="O102" s="193"/>
      <c r="P102" s="193"/>
      <c r="Q102" s="193"/>
      <c r="R102" s="193"/>
      <c r="S102" s="193"/>
      <c r="T102" s="193"/>
      <c r="U102" s="193"/>
      <c r="V102" s="193"/>
      <c r="W102" s="193"/>
      <c r="X102" s="193"/>
      <c r="Y102" s="193"/>
      <c r="Z102" s="193"/>
      <c r="AA102" s="193"/>
      <c r="AB102" s="193"/>
      <c r="AC102" s="193"/>
      <c r="AD102" s="193"/>
      <c r="AE102" s="193"/>
      <c r="AF102" s="193"/>
      <c r="AG102" s="193"/>
      <c r="AH102" s="193"/>
      <c r="AI102" s="193"/>
      <c r="AJ102" s="193"/>
      <c r="AK102" s="193"/>
      <c r="AL102" s="193"/>
      <c r="AM102" s="193"/>
      <c r="AN102" s="193"/>
      <c r="AO102" s="193"/>
      <c r="AP102" s="193"/>
      <c r="AQ102" s="193"/>
      <c r="AR102" s="193"/>
      <c r="AS102" s="193"/>
      <c r="AT102" s="193"/>
      <c r="AU102" s="193"/>
      <c r="AV102" s="193"/>
      <c r="AW102" s="193"/>
      <c r="AX102" s="193"/>
      <c r="AY102" s="193"/>
      <c r="AZ102" s="193"/>
      <c r="BA102" s="193"/>
      <c r="BB102" s="193"/>
      <c r="BC102" s="193"/>
      <c r="BD102" s="193"/>
      <c r="BE102" s="193"/>
      <c r="BF102" s="193"/>
      <c r="BG102" s="193"/>
      <c r="BH102" s="193"/>
      <c r="BI102" s="193"/>
      <c r="BJ102" s="193"/>
      <c r="BK102" s="193"/>
      <c r="BL102" s="193"/>
      <c r="BM102" s="193"/>
      <c r="BN102" s="193"/>
      <c r="BO102" s="193"/>
      <c r="BP102" s="193"/>
      <c r="BQ102" s="193"/>
      <c r="BR102" s="193"/>
      <c r="BS102" s="193"/>
      <c r="BT102" s="193"/>
      <c r="BU102" s="193"/>
      <c r="BV102" s="193"/>
      <c r="BW102" s="193"/>
      <c r="BX102" s="193"/>
      <c r="BY102" s="193"/>
      <c r="BZ102" s="193"/>
      <c r="CA102" s="193"/>
      <c r="CB102" s="193"/>
      <c r="CC102" s="193"/>
      <c r="CD102" s="193"/>
      <c r="CE102" s="193"/>
      <c r="CF102" s="193"/>
      <c r="CG102" s="193"/>
      <c r="CH102" s="193"/>
      <c r="CI102" s="193"/>
      <c r="CJ102" s="193"/>
      <c r="CK102" s="193"/>
      <c r="CL102" s="193"/>
      <c r="CM102" s="193"/>
      <c r="CN102" s="193"/>
      <c r="CO102" s="193"/>
      <c r="CP102" s="193"/>
      <c r="CQ102" s="193"/>
      <c r="CR102" s="193"/>
      <c r="CS102" s="193"/>
      <c r="CT102" s="193"/>
      <c r="CU102" s="193"/>
      <c r="CV102" s="193"/>
      <c r="CW102" s="193"/>
      <c r="CX102" s="193"/>
      <c r="CY102" s="193"/>
      <c r="CZ102" s="193"/>
      <c r="DA102" s="193"/>
      <c r="DB102" s="193"/>
      <c r="DC102" s="193"/>
      <c r="DD102" s="193"/>
      <c r="DE102" s="193"/>
      <c r="DF102" s="193"/>
      <c r="DG102" s="193"/>
      <c r="DH102" s="193"/>
      <c r="DI102" s="193"/>
      <c r="DJ102" s="193"/>
      <c r="DK102" s="193"/>
      <c r="DL102" s="193"/>
      <c r="DM102" s="193"/>
      <c r="DN102" s="193"/>
      <c r="DO102" s="193"/>
      <c r="DP102" s="193"/>
      <c r="DQ102" s="193"/>
      <c r="DR102" s="193"/>
      <c r="DS102" s="193"/>
      <c r="DT102" s="193"/>
      <c r="DU102" s="193"/>
      <c r="DV102" s="193"/>
      <c r="DW102" s="193"/>
      <c r="DX102" s="193"/>
      <c r="DY102" s="193"/>
      <c r="DZ102" s="193"/>
      <c r="EA102" s="193"/>
      <c r="EB102" s="193"/>
      <c r="EC102" s="193"/>
      <c r="ED102" s="193"/>
      <c r="EK102" s="193"/>
      <c r="EL102" s="193"/>
      <c r="EM102" s="193"/>
      <c r="EN102" s="193"/>
      <c r="EO102" s="193"/>
      <c r="EP102" s="193"/>
      <c r="EQ102" s="193"/>
      <c r="ER102" s="193"/>
      <c r="ES102" s="193"/>
      <c r="ET102" s="193"/>
      <c r="EU102" s="193"/>
    </row>
    <row r="103" spans="1:151" ht="12.9">
      <c r="A103" s="193"/>
      <c r="B103" s="193"/>
      <c r="C103" s="193"/>
      <c r="D103" s="193"/>
      <c r="E103" s="193"/>
      <c r="F103" s="193"/>
      <c r="G103" s="193"/>
      <c r="H103" s="193"/>
      <c r="I103" s="193"/>
      <c r="J103" s="193"/>
      <c r="K103" s="193"/>
      <c r="L103" s="193"/>
      <c r="M103" s="193"/>
      <c r="N103" s="193"/>
      <c r="O103" s="193"/>
      <c r="P103" s="193"/>
      <c r="Q103" s="193"/>
      <c r="R103" s="193"/>
      <c r="S103" s="193"/>
      <c r="T103" s="193"/>
      <c r="U103" s="193"/>
      <c r="V103" s="193"/>
      <c r="W103" s="193"/>
      <c r="X103" s="193"/>
      <c r="Y103" s="193"/>
      <c r="Z103" s="193"/>
      <c r="AA103" s="193"/>
      <c r="AB103" s="193"/>
      <c r="AC103" s="193"/>
      <c r="AD103" s="193"/>
      <c r="AE103" s="193"/>
      <c r="AF103" s="193"/>
      <c r="AG103" s="193"/>
      <c r="AH103" s="193"/>
      <c r="AI103" s="193"/>
      <c r="AJ103" s="193"/>
      <c r="AK103" s="193"/>
      <c r="AL103" s="193"/>
      <c r="AM103" s="193"/>
      <c r="AN103" s="193"/>
      <c r="AO103" s="193"/>
      <c r="AP103" s="193"/>
      <c r="AQ103" s="193"/>
      <c r="AR103" s="193"/>
      <c r="AS103" s="193"/>
      <c r="BD103" s="193"/>
      <c r="BE103" s="193"/>
      <c r="BF103" s="193"/>
      <c r="BG103" s="193"/>
      <c r="BH103" s="193"/>
      <c r="BI103" s="193"/>
      <c r="BJ103" s="193"/>
      <c r="BK103" s="193"/>
      <c r="BL103" s="193"/>
      <c r="BM103" s="193"/>
      <c r="BN103" s="193"/>
      <c r="BO103" s="193"/>
      <c r="BP103" s="193"/>
      <c r="BQ103" s="193"/>
      <c r="BR103" s="193"/>
      <c r="BS103" s="193"/>
      <c r="BT103" s="193"/>
      <c r="BU103" s="193"/>
      <c r="BV103" s="193"/>
      <c r="BW103" s="193"/>
      <c r="BX103" s="193"/>
      <c r="BY103" s="193"/>
      <c r="BZ103" s="193"/>
      <c r="CA103" s="193"/>
      <c r="CB103" s="193"/>
      <c r="CC103" s="193"/>
      <c r="CM103" s="193"/>
      <c r="CN103" s="193"/>
      <c r="CO103" s="193"/>
      <c r="CP103" s="193"/>
      <c r="CQ103" s="193"/>
      <c r="CR103" s="193"/>
      <c r="CS103" s="193"/>
      <c r="CT103" s="193"/>
      <c r="CU103" s="193"/>
      <c r="CV103" s="193"/>
      <c r="CW103" s="193"/>
      <c r="CX103" s="193"/>
      <c r="CY103" s="193"/>
      <c r="CZ103" s="193"/>
      <c r="DA103" s="193"/>
      <c r="DB103" s="193"/>
      <c r="DC103" s="193"/>
      <c r="DD103" s="193"/>
      <c r="DE103" s="193"/>
      <c r="DF103" s="193"/>
      <c r="DG103" s="193"/>
      <c r="DH103" s="193"/>
      <c r="DI103" s="193"/>
      <c r="DJ103" s="193"/>
      <c r="DK103" s="193"/>
      <c r="DL103" s="193"/>
      <c r="DM103" s="193"/>
      <c r="DN103" s="193"/>
      <c r="DO103" s="193"/>
      <c r="DP103" s="193"/>
      <c r="DQ103" s="193"/>
      <c r="DR103" s="193"/>
      <c r="DS103" s="193"/>
      <c r="DT103" s="193"/>
      <c r="DU103" s="193"/>
      <c r="DV103" s="193"/>
      <c r="DW103" s="193"/>
      <c r="DX103" s="193"/>
      <c r="DY103" s="193"/>
      <c r="DZ103" s="193"/>
      <c r="EA103" s="193"/>
      <c r="EB103" s="193"/>
      <c r="EC103" s="193"/>
      <c r="ED103" s="193"/>
      <c r="EK103" s="193"/>
      <c r="EL103" s="193"/>
      <c r="EM103" s="193"/>
      <c r="EN103" s="193"/>
      <c r="EO103" s="193"/>
      <c r="EP103" s="193"/>
      <c r="EQ103" s="193"/>
      <c r="ER103" s="193"/>
      <c r="ES103" s="193"/>
      <c r="ET103" s="193"/>
      <c r="EU103" s="193"/>
    </row>
    <row r="104" spans="1:151" ht="12.9">
      <c r="A104" s="193"/>
      <c r="B104" s="193"/>
      <c r="C104" s="193"/>
      <c r="D104" s="193"/>
      <c r="E104" s="193"/>
      <c r="F104" s="193"/>
      <c r="G104" s="193"/>
      <c r="H104" s="193"/>
      <c r="I104" s="193"/>
      <c r="J104" s="193"/>
      <c r="K104" s="193"/>
      <c r="L104" s="193"/>
      <c r="M104" s="193"/>
      <c r="N104" s="193"/>
      <c r="O104" s="193"/>
      <c r="P104" s="193"/>
      <c r="Q104" s="193"/>
      <c r="R104" s="193"/>
      <c r="S104" s="193"/>
      <c r="T104" s="193"/>
      <c r="U104" s="193"/>
      <c r="V104" s="193"/>
      <c r="W104" s="193"/>
      <c r="X104" s="193"/>
      <c r="Y104" s="193"/>
      <c r="Z104" s="193"/>
      <c r="AA104" s="193"/>
      <c r="AB104" s="193"/>
      <c r="AC104" s="193"/>
      <c r="AD104" s="193"/>
      <c r="AE104" s="193"/>
      <c r="AF104" s="193"/>
      <c r="AG104" s="193"/>
      <c r="AH104" s="193"/>
      <c r="AI104" s="193"/>
      <c r="AJ104" s="193"/>
      <c r="AK104" s="193"/>
      <c r="AL104" s="193"/>
      <c r="AM104" s="193"/>
      <c r="AN104" s="193"/>
      <c r="AO104" s="193"/>
      <c r="AP104" s="193"/>
      <c r="AQ104" s="193"/>
      <c r="AR104" s="193"/>
      <c r="AS104" s="193"/>
      <c r="BD104" s="193"/>
      <c r="BE104" s="193"/>
      <c r="BF104" s="193"/>
      <c r="BG104" s="193"/>
      <c r="BH104" s="193"/>
      <c r="BI104" s="193"/>
      <c r="BJ104" s="193"/>
      <c r="BK104" s="193"/>
      <c r="BL104" s="193"/>
      <c r="BM104" s="193"/>
      <c r="BN104" s="193"/>
      <c r="BO104" s="193"/>
      <c r="BP104" s="193"/>
      <c r="BQ104" s="193"/>
      <c r="BR104" s="193"/>
      <c r="BS104" s="193"/>
      <c r="BT104" s="193"/>
      <c r="BU104" s="193"/>
      <c r="BV104" s="193"/>
      <c r="BW104" s="193"/>
      <c r="BX104" s="193"/>
      <c r="BY104" s="193"/>
      <c r="BZ104" s="193"/>
      <c r="CA104" s="193"/>
      <c r="CB104" s="193"/>
      <c r="CC104" s="193"/>
      <c r="CM104" s="193"/>
      <c r="CN104" s="193"/>
      <c r="CO104" s="193"/>
      <c r="CP104" s="193"/>
      <c r="CQ104" s="193"/>
      <c r="CR104" s="193"/>
      <c r="CS104" s="193"/>
      <c r="CT104" s="193"/>
      <c r="CU104" s="193"/>
      <c r="CV104" s="193"/>
      <c r="CW104" s="193"/>
      <c r="CX104" s="193"/>
      <c r="CY104" s="193"/>
      <c r="CZ104" s="193"/>
      <c r="DA104" s="193"/>
      <c r="DB104" s="193"/>
      <c r="DC104" s="193"/>
      <c r="DD104" s="193"/>
      <c r="DE104" s="193"/>
      <c r="DF104" s="193"/>
      <c r="DG104" s="193"/>
      <c r="DH104" s="193"/>
      <c r="DI104" s="193"/>
      <c r="DJ104" s="193"/>
      <c r="DK104" s="193"/>
      <c r="DL104" s="193"/>
      <c r="DM104" s="193"/>
      <c r="DN104" s="193"/>
      <c r="DO104" s="193"/>
      <c r="DP104" s="193"/>
      <c r="DQ104" s="193"/>
      <c r="DR104" s="193"/>
      <c r="DS104" s="193"/>
      <c r="DT104" s="193"/>
      <c r="DU104" s="193"/>
      <c r="DV104" s="193"/>
      <c r="DW104" s="193"/>
      <c r="DX104" s="193"/>
      <c r="DY104" s="193"/>
      <c r="DZ104" s="193"/>
      <c r="EA104" s="193"/>
      <c r="EB104" s="193"/>
      <c r="EC104" s="193"/>
      <c r="EM104" s="193"/>
      <c r="EN104" s="193"/>
      <c r="EO104" s="193"/>
      <c r="EP104" s="193"/>
      <c r="EQ104" s="193"/>
      <c r="ER104" s="193"/>
      <c r="ES104" s="193"/>
      <c r="ET104" s="193"/>
      <c r="EU104" s="193"/>
    </row>
    <row r="105" spans="1:151" ht="12.9">
      <c r="I105" s="193"/>
      <c r="J105" s="193"/>
      <c r="K105" s="193"/>
      <c r="L105" s="193"/>
      <c r="M105" s="193"/>
      <c r="N105" s="193"/>
      <c r="O105" s="193"/>
      <c r="P105" s="193"/>
      <c r="Q105" s="193"/>
      <c r="R105" s="193"/>
      <c r="S105" s="193"/>
      <c r="T105" s="193"/>
      <c r="U105" s="193"/>
      <c r="V105" s="193"/>
      <c r="W105" s="193"/>
      <c r="X105" s="193"/>
      <c r="Y105" s="193"/>
      <c r="Z105" s="193"/>
      <c r="AA105" s="193"/>
      <c r="AB105" s="193"/>
      <c r="AC105" s="193"/>
      <c r="AD105" s="193"/>
      <c r="AE105" s="193"/>
      <c r="AF105" s="193"/>
      <c r="AG105" s="193"/>
      <c r="AH105" s="193"/>
      <c r="AI105" s="193"/>
      <c r="AJ105" s="193"/>
      <c r="AK105" s="193"/>
      <c r="AL105" s="193"/>
      <c r="AM105" s="193"/>
      <c r="AN105" s="193"/>
      <c r="AO105" s="193"/>
      <c r="AP105" s="193"/>
      <c r="AQ105" s="193"/>
      <c r="AR105" s="193"/>
      <c r="AS105" s="193"/>
      <c r="BD105" s="193"/>
      <c r="BE105" s="193"/>
      <c r="BF105" s="193"/>
      <c r="BG105" s="193"/>
      <c r="BH105" s="193"/>
      <c r="BI105" s="193"/>
      <c r="BJ105" s="193"/>
      <c r="BK105" s="193"/>
      <c r="BL105" s="193"/>
      <c r="BM105" s="193"/>
      <c r="BN105" s="193"/>
      <c r="BO105" s="193"/>
      <c r="BP105" s="193"/>
      <c r="BQ105" s="193"/>
      <c r="BR105" s="193"/>
      <c r="BS105" s="193"/>
      <c r="BT105" s="193"/>
      <c r="BU105" s="193"/>
      <c r="BV105" s="193"/>
      <c r="BW105" s="193"/>
      <c r="BX105" s="193"/>
      <c r="BY105" s="193"/>
      <c r="BZ105" s="193"/>
      <c r="CA105" s="193"/>
      <c r="CB105" s="193"/>
      <c r="CC105" s="193"/>
      <c r="CM105" s="193"/>
      <c r="CN105" s="193"/>
      <c r="CO105" s="193"/>
      <c r="CP105" s="193"/>
      <c r="CQ105" s="193"/>
      <c r="CR105" s="193"/>
      <c r="CS105" s="193"/>
      <c r="CT105" s="193"/>
      <c r="CU105" s="193"/>
      <c r="CV105" s="193"/>
      <c r="CW105" s="193"/>
      <c r="CX105" s="193"/>
      <c r="CY105" s="193"/>
      <c r="CZ105" s="193"/>
      <c r="DA105" s="193"/>
      <c r="DB105" s="193"/>
      <c r="DC105" s="193"/>
      <c r="DD105" s="193"/>
      <c r="DE105" s="193"/>
      <c r="DF105" s="193"/>
      <c r="DG105" s="193"/>
      <c r="DH105" s="193"/>
      <c r="DI105" s="193"/>
      <c r="DJ105" s="193"/>
      <c r="DK105" s="193"/>
      <c r="DL105" s="193"/>
      <c r="DM105" s="193"/>
      <c r="DN105" s="193"/>
      <c r="DO105" s="193"/>
      <c r="DP105" s="193"/>
      <c r="DQ105" s="193"/>
      <c r="DR105" s="193"/>
      <c r="DS105" s="193"/>
      <c r="DT105" s="193"/>
      <c r="DU105" s="193"/>
      <c r="DV105" s="193"/>
      <c r="DW105" s="193"/>
      <c r="DX105" s="193"/>
      <c r="DY105" s="193"/>
      <c r="DZ105" s="193"/>
      <c r="EA105" s="193"/>
      <c r="EB105" s="193"/>
      <c r="EC105" s="193"/>
      <c r="EM105" s="193"/>
      <c r="EN105" s="193"/>
      <c r="EO105" s="193"/>
      <c r="EP105" s="193"/>
      <c r="EQ105" s="193"/>
      <c r="ER105" s="193"/>
      <c r="ES105" s="193"/>
      <c r="ET105" s="193"/>
      <c r="EU105" s="193"/>
    </row>
    <row r="106" spans="1:151" ht="12.9">
      <c r="I106" s="193"/>
      <c r="J106" s="193"/>
      <c r="K106" s="193"/>
      <c r="AG106" s="193"/>
      <c r="AH106" s="193"/>
      <c r="AI106" s="193"/>
      <c r="AJ106" s="193"/>
      <c r="AK106" s="193"/>
      <c r="AL106" s="193"/>
      <c r="AM106" s="193"/>
      <c r="AN106" s="193"/>
      <c r="AO106" s="193"/>
      <c r="AP106" s="193"/>
      <c r="AQ106" s="193"/>
      <c r="AR106" s="193"/>
      <c r="AS106" s="193"/>
      <c r="BD106" s="193"/>
      <c r="BE106" s="193"/>
      <c r="BF106" s="193"/>
      <c r="BG106" s="193"/>
      <c r="BH106" s="193"/>
      <c r="BI106" s="193"/>
      <c r="BJ106" s="193"/>
      <c r="BK106" s="193"/>
      <c r="BL106" s="193"/>
      <c r="BM106" s="193"/>
      <c r="BN106" s="193"/>
      <c r="BO106" s="193"/>
      <c r="BP106" s="193"/>
      <c r="BQ106" s="193"/>
      <c r="BR106" s="193"/>
      <c r="BS106" s="193"/>
      <c r="BT106" s="193"/>
      <c r="BU106" s="193"/>
      <c r="BV106" s="193"/>
      <c r="BW106" s="193"/>
      <c r="BX106" s="193"/>
      <c r="BY106" s="193"/>
      <c r="BZ106" s="193"/>
      <c r="CA106" s="193"/>
      <c r="CB106" s="193"/>
      <c r="CC106" s="193"/>
      <c r="CM106" s="193"/>
      <c r="CN106" s="193"/>
      <c r="CO106" s="193"/>
      <c r="CP106" s="193"/>
      <c r="CQ106" s="193"/>
      <c r="CR106" s="193"/>
      <c r="CS106" s="193"/>
      <c r="CT106" s="193"/>
      <c r="CU106" s="193"/>
      <c r="CV106" s="193"/>
      <c r="CW106" s="193"/>
      <c r="CX106" s="193"/>
      <c r="CY106" s="193"/>
      <c r="CZ106" s="193"/>
      <c r="DA106" s="193"/>
      <c r="DB106" s="193"/>
      <c r="DC106" s="193"/>
      <c r="DD106" s="193"/>
      <c r="DE106" s="193"/>
      <c r="DF106" s="193"/>
      <c r="DG106" s="193"/>
      <c r="DH106" s="193"/>
      <c r="DI106" s="193"/>
      <c r="DJ106" s="193"/>
      <c r="DK106" s="193"/>
      <c r="DL106" s="193"/>
      <c r="DM106" s="193"/>
      <c r="DN106" s="193"/>
      <c r="DO106" s="193"/>
      <c r="DP106" s="193"/>
      <c r="DQ106" s="193"/>
      <c r="DR106" s="193"/>
      <c r="DS106" s="193"/>
      <c r="DT106" s="193"/>
      <c r="DU106" s="193"/>
      <c r="DV106" s="193"/>
      <c r="DW106" s="193"/>
      <c r="DX106" s="193"/>
      <c r="DY106" s="193"/>
      <c r="DZ106" s="193"/>
      <c r="EA106" s="193"/>
      <c r="EB106" s="193"/>
      <c r="EC106" s="193"/>
      <c r="EM106" s="193"/>
      <c r="EN106" s="193"/>
      <c r="EO106" s="193"/>
      <c r="EP106" s="193"/>
      <c r="EQ106" s="193"/>
      <c r="ER106" s="193"/>
      <c r="ES106" s="193"/>
      <c r="ET106" s="193"/>
      <c r="EU106" s="193"/>
    </row>
    <row r="107" spans="1:151" ht="12.9">
      <c r="I107" s="193"/>
      <c r="J107" s="193"/>
      <c r="K107" s="193"/>
      <c r="AG107" s="193"/>
      <c r="AH107" s="193"/>
      <c r="AI107" s="193"/>
      <c r="AJ107" s="193"/>
      <c r="AK107" s="193"/>
      <c r="AL107" s="193"/>
      <c r="AM107" s="193"/>
      <c r="AN107" s="193"/>
      <c r="AO107" s="193"/>
      <c r="AP107" s="193"/>
      <c r="AQ107" s="193"/>
      <c r="AR107" s="193"/>
      <c r="AS107" s="193"/>
      <c r="BD107" s="193"/>
      <c r="BE107" s="193"/>
      <c r="BF107" s="193"/>
      <c r="BG107" s="193"/>
      <c r="BH107" s="193"/>
      <c r="BI107" s="193"/>
      <c r="BJ107" s="193"/>
      <c r="BK107" s="193"/>
      <c r="BL107" s="193"/>
      <c r="BM107" s="193"/>
      <c r="BN107" s="193"/>
      <c r="BO107" s="193"/>
      <c r="BP107" s="193"/>
      <c r="BQ107" s="193"/>
      <c r="BR107" s="193"/>
      <c r="CB107" s="193"/>
      <c r="CC107" s="193"/>
      <c r="CM107" s="193"/>
      <c r="CN107" s="193"/>
      <c r="CO107" s="193"/>
      <c r="CP107" s="193"/>
      <c r="CQ107" s="193"/>
      <c r="CR107" s="193"/>
      <c r="CS107" s="193"/>
      <c r="CT107" s="193"/>
      <c r="CU107" s="193"/>
      <c r="CV107" s="193"/>
      <c r="CW107" s="193"/>
      <c r="CX107" s="193"/>
      <c r="CY107" s="193"/>
      <c r="CZ107" s="193"/>
      <c r="DA107" s="193"/>
      <c r="DB107" s="193"/>
      <c r="DC107" s="193"/>
      <c r="DD107" s="193"/>
      <c r="DE107" s="193"/>
      <c r="DF107" s="193"/>
      <c r="DG107" s="193"/>
      <c r="DH107" s="193"/>
      <c r="DI107" s="193"/>
      <c r="DJ107" s="193"/>
      <c r="DK107" s="193"/>
      <c r="DL107" s="193"/>
      <c r="DM107" s="193"/>
      <c r="DN107" s="193"/>
      <c r="DO107" s="193"/>
      <c r="DP107" s="193"/>
      <c r="DQ107" s="193"/>
      <c r="DR107" s="193"/>
      <c r="DS107" s="193"/>
      <c r="DT107" s="193"/>
      <c r="DU107" s="193"/>
      <c r="DV107" s="193"/>
      <c r="DW107" s="193"/>
      <c r="DX107" s="193"/>
      <c r="DY107" s="193"/>
      <c r="DZ107" s="193"/>
      <c r="EA107" s="193"/>
      <c r="EB107" s="193"/>
      <c r="EC107" s="193"/>
      <c r="EM107" s="193"/>
      <c r="EN107" s="193"/>
      <c r="EO107" s="193"/>
      <c r="EP107" s="193"/>
      <c r="EQ107" s="193"/>
      <c r="ER107" s="193"/>
      <c r="ES107" s="193"/>
      <c r="ET107" s="193"/>
      <c r="EU107" s="193"/>
    </row>
    <row r="108" spans="1:151" ht="12.9">
      <c r="I108" s="193"/>
      <c r="J108" s="193"/>
      <c r="K108" s="193"/>
      <c r="AG108" s="193"/>
      <c r="AH108" s="193"/>
      <c r="AI108" s="193"/>
      <c r="AJ108" s="193"/>
      <c r="AK108" s="193"/>
      <c r="AL108" s="193"/>
      <c r="AM108" s="193"/>
      <c r="AN108" s="193"/>
      <c r="AO108" s="193"/>
      <c r="AP108" s="193"/>
      <c r="AQ108" s="193"/>
      <c r="AR108" s="193"/>
      <c r="AS108" s="193"/>
      <c r="BD108" s="193"/>
      <c r="BE108" s="193"/>
      <c r="BF108" s="193"/>
      <c r="BG108" s="193"/>
      <c r="BH108" s="193"/>
      <c r="BI108" s="193"/>
      <c r="BJ108" s="193"/>
      <c r="BK108" s="193"/>
      <c r="BL108" s="193"/>
      <c r="BM108" s="193"/>
      <c r="BN108" s="193"/>
      <c r="BO108" s="193"/>
      <c r="BP108" s="193"/>
      <c r="BQ108" s="193"/>
      <c r="BR108" s="193"/>
      <c r="CB108" s="193"/>
      <c r="CC108" s="193"/>
      <c r="CM108" s="193"/>
      <c r="CN108" s="193"/>
      <c r="CO108" s="193"/>
      <c r="CP108" s="193"/>
      <c r="CQ108" s="193"/>
      <c r="CR108" s="193"/>
      <c r="CS108" s="193"/>
      <c r="CT108" s="193"/>
      <c r="CU108" s="193"/>
      <c r="CV108" s="193"/>
      <c r="CW108" s="193"/>
      <c r="CX108" s="193"/>
      <c r="CY108" s="193"/>
      <c r="CZ108" s="193"/>
      <c r="DA108" s="193"/>
      <c r="DB108" s="193"/>
      <c r="DC108" s="193"/>
      <c r="DD108" s="193"/>
      <c r="DE108" s="193"/>
      <c r="DF108" s="193"/>
      <c r="DG108" s="193"/>
      <c r="DH108" s="193"/>
      <c r="DI108" s="193"/>
      <c r="DJ108" s="193"/>
      <c r="DK108" s="193"/>
      <c r="DL108" s="193"/>
      <c r="DM108" s="193"/>
      <c r="DN108" s="193"/>
      <c r="DO108" s="193"/>
      <c r="DP108" s="193"/>
      <c r="DQ108" s="193"/>
      <c r="DR108" s="193"/>
      <c r="DS108" s="193"/>
      <c r="DT108" s="193"/>
      <c r="DU108" s="193"/>
      <c r="DV108" s="193"/>
      <c r="DW108" s="193"/>
      <c r="DX108" s="193"/>
      <c r="DY108" s="193"/>
      <c r="DZ108" s="193"/>
      <c r="EA108" s="193"/>
      <c r="EB108" s="193"/>
      <c r="EC108" s="193"/>
      <c r="EM108" s="193"/>
      <c r="EN108" s="193"/>
      <c r="EO108" s="193"/>
      <c r="EP108" s="193"/>
      <c r="EQ108" s="193"/>
      <c r="ER108" s="193"/>
      <c r="ES108" s="193"/>
      <c r="ET108" s="193"/>
      <c r="EU108" s="193"/>
    </row>
  </sheetData>
  <mergeCells count="1">
    <mergeCell ref="Z10:AE19"/>
  </mergeCells>
  <printOptions horizontalCentered="1"/>
  <pageMargins left="0.2" right="0.2" top="0.75" bottom="0.75" header="0.3" footer="0.3"/>
  <pageSetup orientation="portrait" blackAndWhite="1" verticalDpi="300" r:id="rId1"/>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99A7C86-0B52-4046-8A4B-564A67E76612}">
  <sheetPr codeName="Sheet21"/>
  <dimension ref="A1:O59"/>
  <sheetViews>
    <sheetView workbookViewId="0">
      <selection activeCell="M34" sqref="M34"/>
    </sheetView>
  </sheetViews>
  <sheetFormatPr defaultRowHeight="12.9"/>
  <cols>
    <col min="1" max="1" width="4.296875" style="14" customWidth="1"/>
    <col min="2" max="2" width="8" style="14" customWidth="1"/>
    <col min="3" max="4" width="9.296875" style="14"/>
    <col min="5" max="5" width="12.5" style="14" customWidth="1"/>
    <col min="6" max="6" width="4.296875" style="14" customWidth="1"/>
    <col min="7" max="7" width="12.19921875" style="14" customWidth="1"/>
    <col min="8" max="8" width="13.69921875" style="14" customWidth="1"/>
    <col min="9" max="9" width="4.296875" style="14" customWidth="1"/>
    <col min="10" max="10" width="9.296875" style="14"/>
    <col min="11" max="11" width="17.19921875" style="14" customWidth="1"/>
    <col min="12" max="12" width="9.296875" style="14"/>
  </cols>
  <sheetData>
    <row r="1" spans="1:15">
      <c r="A1" s="690" t="str">
        <f>+'CB Item 1'!A1</f>
        <v xml:space="preserve">       FILE: PAF23D08; p.10</v>
      </c>
      <c r="K1" s="690" t="str">
        <f>+'CB Item 1'!K1</f>
        <v>PA 2023 F CLASS R/R</v>
      </c>
      <c r="N1" s="12"/>
      <c r="O1" s="1" t="s">
        <v>143</v>
      </c>
    </row>
    <row r="2" spans="1:15">
      <c r="A2" s="690" t="str">
        <f>+'CB Item 1'!A2</f>
        <v>SOURCE: PAF23D08, pp. 1-9</v>
      </c>
      <c r="K2" s="717" t="str">
        <f>+'CB Item 1'!K2</f>
        <v>11/25/2022</v>
      </c>
      <c r="N2" s="66"/>
      <c r="O2" s="1" t="s">
        <v>142</v>
      </c>
    </row>
    <row r="3" spans="1:15">
      <c r="K3" s="15"/>
      <c r="N3" s="85"/>
      <c r="O3" s="1" t="s">
        <v>146</v>
      </c>
    </row>
    <row r="4" spans="1:15" ht="15.45">
      <c r="A4" s="16" t="s">
        <v>90</v>
      </c>
      <c r="B4" s="17"/>
      <c r="C4" s="17"/>
      <c r="D4" s="17"/>
      <c r="E4" s="17"/>
      <c r="F4" s="17"/>
      <c r="G4" s="17"/>
      <c r="H4" s="17"/>
      <c r="I4" s="17"/>
      <c r="J4" s="17"/>
      <c r="K4" s="15"/>
    </row>
    <row r="5" spans="1:15" ht="15.45">
      <c r="A5" s="16"/>
      <c r="B5" s="17"/>
      <c r="C5" s="17"/>
      <c r="D5" s="17"/>
      <c r="E5" s="17"/>
      <c r="F5" s="17"/>
      <c r="G5" s="18"/>
      <c r="H5" s="17"/>
      <c r="I5" s="17"/>
      <c r="J5" s="17"/>
      <c r="K5" s="17"/>
    </row>
    <row r="8" spans="1:15">
      <c r="E8" s="19" t="s">
        <v>81</v>
      </c>
      <c r="G8" s="19" t="s">
        <v>91</v>
      </c>
      <c r="K8" s="19" t="s">
        <v>92</v>
      </c>
    </row>
    <row r="9" spans="1:15">
      <c r="B9" s="20" t="s">
        <v>93</v>
      </c>
      <c r="C9" s="17"/>
      <c r="E9" s="19" t="s">
        <v>94</v>
      </c>
      <c r="G9" s="19" t="s">
        <v>95</v>
      </c>
      <c r="H9" s="19" t="s">
        <v>96</v>
      </c>
      <c r="J9" s="19" t="s">
        <v>97</v>
      </c>
      <c r="K9" s="21" t="s">
        <v>86</v>
      </c>
    </row>
    <row r="10" spans="1:15">
      <c r="B10" s="20" t="s">
        <v>98</v>
      </c>
      <c r="C10" s="17"/>
      <c r="E10" s="19" t="s">
        <v>99</v>
      </c>
      <c r="G10" s="19" t="s">
        <v>99</v>
      </c>
      <c r="H10" s="19" t="s">
        <v>100</v>
      </c>
      <c r="J10" s="19" t="s">
        <v>100</v>
      </c>
      <c r="K10" s="21" t="s">
        <v>101</v>
      </c>
    </row>
    <row r="12" spans="1:15">
      <c r="A12" s="22">
        <v>6</v>
      </c>
      <c r="B12" s="23" t="s">
        <v>525</v>
      </c>
      <c r="E12" s="24">
        <f>+'CB Item 1'!E12</f>
        <v>0.69910000000000005</v>
      </c>
      <c r="F12" s="25"/>
      <c r="G12" s="24">
        <f>+'CB Item 1'!G12</f>
        <v>0.96009999999999995</v>
      </c>
      <c r="H12" s="24">
        <f>+'CB Item 1'!H12</f>
        <v>0.71</v>
      </c>
      <c r="I12" s="26"/>
      <c r="J12" s="24">
        <f>+'CB Item 1'!J12</f>
        <v>1.21</v>
      </c>
      <c r="K12" s="27"/>
    </row>
    <row r="13" spans="1:15">
      <c r="A13" s="22"/>
      <c r="B13" s="23"/>
      <c r="E13" s="430"/>
      <c r="F13" s="25"/>
      <c r="G13" s="430"/>
      <c r="H13" s="430"/>
      <c r="I13" s="26"/>
      <c r="J13" s="430"/>
      <c r="K13" s="27"/>
    </row>
    <row r="14" spans="1:15">
      <c r="A14" s="22"/>
      <c r="B14" s="23"/>
      <c r="E14" s="430"/>
      <c r="F14" s="25"/>
      <c r="G14" s="430"/>
      <c r="H14" s="430"/>
      <c r="I14" s="26"/>
      <c r="J14" s="430"/>
      <c r="K14" s="27"/>
    </row>
    <row r="15" spans="1:15">
      <c r="H15" s="28"/>
      <c r="J15" s="28"/>
    </row>
    <row r="17" spans="1:11">
      <c r="C17" s="19" t="s">
        <v>102</v>
      </c>
      <c r="D17" s="21"/>
      <c r="E17" s="19" t="s">
        <v>103</v>
      </c>
      <c r="F17" s="21"/>
      <c r="G17" s="21"/>
      <c r="H17" s="19" t="s">
        <v>104</v>
      </c>
    </row>
    <row r="18" spans="1:11">
      <c r="C18" s="19" t="s">
        <v>105</v>
      </c>
      <c r="D18" s="21"/>
      <c r="E18" s="19" t="s">
        <v>106</v>
      </c>
      <c r="F18" s="21"/>
      <c r="G18" s="21"/>
      <c r="H18" s="19" t="s">
        <v>106</v>
      </c>
    </row>
    <row r="20" spans="1:11">
      <c r="C20" s="29" t="s">
        <v>107</v>
      </c>
      <c r="D20" s="30"/>
      <c r="E20" s="41">
        <f>+'CB Item 1'!E20</f>
        <v>927367</v>
      </c>
      <c r="F20" s="42"/>
      <c r="G20" s="42"/>
      <c r="H20" s="41">
        <f>+'CB Item 1'!H20</f>
        <v>1854734</v>
      </c>
    </row>
    <row r="21" spans="1:11">
      <c r="C21" s="29" t="s">
        <v>108</v>
      </c>
      <c r="D21" s="30"/>
      <c r="E21" s="41">
        <f>+'CB Item 1'!E21</f>
        <v>985013</v>
      </c>
      <c r="F21" s="42"/>
      <c r="G21" s="42"/>
      <c r="H21" s="41">
        <f>+'CB Item 1'!H21</f>
        <v>1970026</v>
      </c>
    </row>
    <row r="22" spans="1:11">
      <c r="C22" s="29" t="s">
        <v>109</v>
      </c>
      <c r="D22" s="30"/>
      <c r="E22" s="41">
        <f>+'CB Item 1'!E22</f>
        <v>1046242</v>
      </c>
      <c r="F22" s="42"/>
      <c r="G22" s="42"/>
      <c r="H22" s="41">
        <f>+'CB Item 1'!H22</f>
        <v>2092484</v>
      </c>
    </row>
    <row r="23" spans="1:11">
      <c r="B23" s="23"/>
      <c r="C23" s="29" t="s">
        <v>110</v>
      </c>
      <c r="D23" s="30"/>
      <c r="E23" s="41">
        <f>+'CB Item 1'!E23</f>
        <v>1111277</v>
      </c>
      <c r="F23" s="42"/>
      <c r="G23" s="42"/>
      <c r="H23" s="41">
        <f>+'CB Item 1'!H23</f>
        <v>2222554</v>
      </c>
    </row>
    <row r="24" spans="1:11">
      <c r="B24" s="23"/>
      <c r="C24" s="29" t="s">
        <v>111</v>
      </c>
      <c r="D24" s="30"/>
      <c r="E24" s="41">
        <f>+'CB Item 1'!E24</f>
        <v>1180354</v>
      </c>
      <c r="F24" s="42"/>
      <c r="G24" s="42"/>
      <c r="H24" s="41">
        <f>+'CB Item 1'!H24</f>
        <v>2360708</v>
      </c>
    </row>
    <row r="25" spans="1:11">
      <c r="B25" s="23"/>
      <c r="C25" s="29" t="s">
        <v>112</v>
      </c>
      <c r="D25" s="30"/>
      <c r="E25" s="41">
        <f>+'CB Item 1'!E25</f>
        <v>1253726</v>
      </c>
      <c r="F25" s="42"/>
      <c r="G25" s="42"/>
      <c r="H25" s="41">
        <f>+'CB Item 1'!H25</f>
        <v>2507452</v>
      </c>
    </row>
    <row r="26" spans="1:11">
      <c r="B26" s="23"/>
      <c r="C26" s="29" t="s">
        <v>113</v>
      </c>
      <c r="D26" s="30"/>
      <c r="E26" s="41">
        <f>+'CB Item 1'!E26</f>
        <v>1331658</v>
      </c>
      <c r="F26" s="42"/>
      <c r="G26" s="42"/>
      <c r="H26" s="41">
        <f>+'CB Item 1'!H26</f>
        <v>2663316</v>
      </c>
    </row>
    <row r="27" spans="1:11">
      <c r="B27" s="23"/>
      <c r="C27" s="29"/>
      <c r="D27" s="30"/>
      <c r="E27" s="31"/>
      <c r="F27" s="21"/>
      <c r="G27" s="21"/>
      <c r="H27" s="31"/>
    </row>
    <row r="29" spans="1:11">
      <c r="D29" s="22" t="s">
        <v>114</v>
      </c>
    </row>
    <row r="30" spans="1:11">
      <c r="A30" s="20" t="s">
        <v>115</v>
      </c>
      <c r="B30" s="17"/>
      <c r="C30" s="17"/>
      <c r="D30" s="17"/>
      <c r="E30" s="17"/>
      <c r="F30" s="17"/>
      <c r="G30" s="17"/>
      <c r="H30" s="17"/>
      <c r="I30" s="17"/>
      <c r="J30" s="17"/>
      <c r="K30" s="32"/>
    </row>
    <row r="31" spans="1:11">
      <c r="B31" s="19" t="s">
        <v>116</v>
      </c>
      <c r="C31" s="21"/>
      <c r="D31" s="21"/>
      <c r="E31" s="21"/>
      <c r="F31" s="21"/>
      <c r="G31" s="21"/>
      <c r="H31" s="21"/>
      <c r="I31" s="21"/>
      <c r="J31" s="19" t="s">
        <v>117</v>
      </c>
      <c r="K31" s="33" t="s">
        <v>2</v>
      </c>
    </row>
    <row r="32" spans="1:11">
      <c r="B32" s="19" t="s">
        <v>118</v>
      </c>
      <c r="C32" s="21"/>
      <c r="D32" s="19" t="s">
        <v>31</v>
      </c>
      <c r="E32" s="21"/>
      <c r="F32" s="21"/>
      <c r="G32" s="19" t="s">
        <v>119</v>
      </c>
      <c r="H32" s="21"/>
      <c r="I32" s="21"/>
      <c r="J32" s="19" t="s">
        <v>120</v>
      </c>
      <c r="K32" s="33" t="s">
        <v>121</v>
      </c>
    </row>
    <row r="34" spans="1:11">
      <c r="B34" s="14">
        <f>'D08'!AI25</f>
        <v>2015</v>
      </c>
      <c r="C34" s="34"/>
      <c r="D34" s="35">
        <f>+'CB Item 1'!D34</f>
        <v>0</v>
      </c>
      <c r="E34" s="34"/>
      <c r="G34" s="35">
        <f>+'CB Item 1'!G34</f>
        <v>0</v>
      </c>
      <c r="H34" s="34"/>
      <c r="J34" s="35">
        <f>+'CB Item 1'!J34</f>
        <v>0</v>
      </c>
      <c r="K34" s="36">
        <v>1</v>
      </c>
    </row>
    <row r="35" spans="1:11">
      <c r="B35" s="14">
        <f>'D08'!AI26</f>
        <v>2016</v>
      </c>
      <c r="C35" s="34"/>
      <c r="D35" s="35">
        <f>+'CB Item 1'!D35</f>
        <v>0</v>
      </c>
      <c r="E35" s="34"/>
      <c r="G35" s="35">
        <f>+'CB Item 1'!G35</f>
        <v>0</v>
      </c>
      <c r="H35" s="34"/>
      <c r="J35" s="35">
        <f>+'CB Item 1'!J35</f>
        <v>0</v>
      </c>
      <c r="K35" s="36">
        <v>1</v>
      </c>
    </row>
    <row r="36" spans="1:11">
      <c r="B36" s="14">
        <f>'D08'!AI27</f>
        <v>2017</v>
      </c>
      <c r="C36" s="34"/>
      <c r="D36" s="35">
        <f>+'CB Item 1'!D36</f>
        <v>0</v>
      </c>
      <c r="E36" s="34"/>
      <c r="G36" s="35">
        <f>+'CB Item 1'!G36</f>
        <v>0</v>
      </c>
      <c r="H36" s="34"/>
      <c r="J36" s="35">
        <f>+'CB Item 1'!J36</f>
        <v>0</v>
      </c>
      <c r="K36" s="36">
        <v>1</v>
      </c>
    </row>
    <row r="37" spans="1:11">
      <c r="B37" s="14">
        <f>'D08'!AI28</f>
        <v>2018</v>
      </c>
      <c r="C37" s="34"/>
      <c r="D37" s="35">
        <f>+'CB Item 1'!D37</f>
        <v>0</v>
      </c>
      <c r="E37" s="34"/>
      <c r="G37" s="35">
        <f>+'CB Item 1'!G37</f>
        <v>0</v>
      </c>
      <c r="H37" s="34"/>
      <c r="J37" s="35">
        <f>+'CB Item 1'!J37</f>
        <v>0</v>
      </c>
      <c r="K37" s="36">
        <v>1</v>
      </c>
    </row>
    <row r="38" spans="1:11">
      <c r="B38" s="14">
        <f>'D08'!AI29</f>
        <v>2019</v>
      </c>
      <c r="C38" s="34"/>
      <c r="D38" s="35">
        <f>+'CB Item 1'!D38</f>
        <v>0</v>
      </c>
      <c r="E38" s="34"/>
      <c r="G38" s="35">
        <f>+'CB Item 1'!G38</f>
        <v>0</v>
      </c>
      <c r="H38" s="34"/>
      <c r="J38" s="35">
        <f>+'CB Item 1'!J38</f>
        <v>0</v>
      </c>
      <c r="K38" s="36">
        <v>1</v>
      </c>
    </row>
    <row r="40" spans="1:11">
      <c r="A40" s="14" t="s">
        <v>2</v>
      </c>
    </row>
    <row r="41" spans="1:11">
      <c r="A41" s="22" t="s">
        <v>122</v>
      </c>
      <c r="D41" s="37" t="str">
        <f>'CB Item 1'!D41</f>
        <v>P23D08.XLS</v>
      </c>
      <c r="G41" s="14" t="s">
        <v>123</v>
      </c>
    </row>
    <row r="42" spans="1:11">
      <c r="A42" s="14" t="s">
        <v>124</v>
      </c>
      <c r="D42" s="14">
        <v>5</v>
      </c>
    </row>
    <row r="43" spans="1:11">
      <c r="A43" s="14" t="s">
        <v>125</v>
      </c>
      <c r="F43" s="14" t="s">
        <v>126</v>
      </c>
    </row>
    <row r="44" spans="1:11">
      <c r="A44" s="14" t="s">
        <v>127</v>
      </c>
      <c r="D44" s="14" t="s">
        <v>128</v>
      </c>
    </row>
    <row r="45" spans="1:11">
      <c r="A45" s="14" t="s">
        <v>129</v>
      </c>
      <c r="E45" s="14" t="s">
        <v>130</v>
      </c>
      <c r="F45" s="23"/>
    </row>
    <row r="46" spans="1:11">
      <c r="A46" s="14" t="s">
        <v>131</v>
      </c>
    </row>
    <row r="47" spans="1:11">
      <c r="B47" s="23" t="s">
        <v>132</v>
      </c>
      <c r="D47" s="38">
        <v>1</v>
      </c>
      <c r="E47" s="14" t="s">
        <v>133</v>
      </c>
      <c r="G47" s="39">
        <v>1</v>
      </c>
      <c r="I47" s="14" t="s">
        <v>134</v>
      </c>
      <c r="K47" s="39">
        <v>1</v>
      </c>
    </row>
    <row r="48" spans="1:11">
      <c r="A48" s="14" t="s">
        <v>135</v>
      </c>
      <c r="B48" s="23"/>
    </row>
    <row r="49" spans="1:11">
      <c r="B49" s="23" t="s">
        <v>132</v>
      </c>
      <c r="D49" s="300">
        <f>'D08'!DS49</f>
        <v>3.5823999999999998</v>
      </c>
      <c r="E49" s="14" t="s">
        <v>133</v>
      </c>
      <c r="G49" s="301">
        <f>'D08'!DV49</f>
        <v>2.9306000000000001</v>
      </c>
      <c r="I49" s="14" t="s">
        <v>134</v>
      </c>
      <c r="K49" s="301">
        <f>'D08'!DZ49</f>
        <v>13.7582</v>
      </c>
    </row>
    <row r="50" spans="1:11">
      <c r="B50" s="23"/>
      <c r="D50" s="6"/>
      <c r="G50" s="7"/>
      <c r="K50" s="7"/>
    </row>
    <row r="51" spans="1:11">
      <c r="B51" s="23"/>
      <c r="D51" s="6"/>
      <c r="G51" s="7"/>
      <c r="K51" s="7"/>
    </row>
    <row r="52" spans="1:11">
      <c r="A52" s="14" t="s">
        <v>136</v>
      </c>
      <c r="B52" s="23"/>
      <c r="D52" s="6"/>
      <c r="G52" s="302">
        <f>'D08'!DV52</f>
        <v>0</v>
      </c>
      <c r="K52" s="7"/>
    </row>
    <row r="53" spans="1:11">
      <c r="A53" s="14" t="s">
        <v>137</v>
      </c>
      <c r="B53" s="23"/>
      <c r="D53" s="6"/>
      <c r="E53" s="40" t="str">
        <f>'CB Item 1'!E53</f>
        <v>REGULAR = (310 * RATE) + EXPENSE CONSTANT</v>
      </c>
      <c r="G53" s="7"/>
      <c r="K53" s="7"/>
    </row>
    <row r="54" spans="1:11">
      <c r="B54" s="23"/>
      <c r="D54" s="6"/>
      <c r="E54" s="40"/>
      <c r="G54" s="7"/>
      <c r="K54" s="7"/>
    </row>
    <row r="55" spans="1:11">
      <c r="A55" s="40" t="s">
        <v>138</v>
      </c>
      <c r="B55" s="23"/>
      <c r="D55" s="6"/>
      <c r="E55" s="9">
        <f>'D08'!DT55</f>
        <v>375</v>
      </c>
      <c r="G55" s="7"/>
      <c r="K55" s="7"/>
    </row>
    <row r="56" spans="1:11">
      <c r="A56" s="14" t="s">
        <v>139</v>
      </c>
      <c r="D56" s="40" t="s">
        <v>140</v>
      </c>
    </row>
    <row r="57" spans="1:11">
      <c r="A57" s="14" t="s">
        <v>482</v>
      </c>
      <c r="E57" s="10">
        <f>'CB Item 1'!E57</f>
        <v>3000</v>
      </c>
    </row>
    <row r="58" spans="1:11">
      <c r="E58" s="8"/>
    </row>
    <row r="59" spans="1:11">
      <c r="C59" s="23"/>
      <c r="E59" s="22"/>
      <c r="G59" s="37"/>
      <c r="I59" s="23"/>
    </row>
  </sheetData>
  <pageMargins left="0.7" right="0.7" top="0.75" bottom="0.75" header="0.3" footer="0.3"/>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CCAE275-F07F-4A1E-8FDF-BCD4737ACBDE}">
  <sheetPr codeName="Sheet18"/>
  <dimension ref="A1:X19"/>
  <sheetViews>
    <sheetView topLeftCell="L1" zoomScale="130" zoomScaleNormal="130" workbookViewId="0">
      <pane ySplit="6" topLeftCell="A8" activePane="bottomLeft" state="frozen"/>
      <selection activeCell="M34" sqref="M34"/>
      <selection pane="bottomLeft" activeCell="M34" sqref="M34"/>
    </sheetView>
  </sheetViews>
  <sheetFormatPr defaultColWidth="9.296875" defaultRowHeight="12.9"/>
  <cols>
    <col min="1" max="1" width="9.296875" style="44"/>
    <col min="2" max="2" width="5.69921875" style="44" bestFit="1" customWidth="1"/>
    <col min="3" max="3" width="5.69921875" style="44" customWidth="1"/>
    <col min="4" max="4" width="15.296875" style="44" bestFit="1" customWidth="1"/>
    <col min="5" max="5" width="17" style="44" bestFit="1" customWidth="1"/>
    <col min="6" max="6" width="15.296875" style="44" bestFit="1" customWidth="1"/>
    <col min="7" max="7" width="15.5" style="44" bestFit="1" customWidth="1"/>
    <col min="8" max="8" width="15.296875" style="44" bestFit="1" customWidth="1"/>
    <col min="9" max="9" width="15.5" style="44" bestFit="1" customWidth="1"/>
    <col min="10" max="10" width="15.296875" style="44" bestFit="1" customWidth="1"/>
    <col min="11" max="11" width="15.5" style="44" bestFit="1" customWidth="1"/>
    <col min="12" max="12" width="15.296875" style="44" bestFit="1" customWidth="1"/>
    <col min="13" max="13" width="15.5" style="44" bestFit="1" customWidth="1"/>
    <col min="14" max="14" width="15.296875" style="44" bestFit="1" customWidth="1"/>
    <col min="15" max="17" width="14" style="44" customWidth="1"/>
    <col min="18" max="18" width="15.19921875" style="44" bestFit="1" customWidth="1"/>
    <col min="19" max="19" width="25.19921875" style="44" bestFit="1" customWidth="1"/>
    <col min="20" max="21" width="26.5" style="44" bestFit="1" customWidth="1"/>
    <col min="22" max="22" width="18.296875" style="44" bestFit="1" customWidth="1"/>
    <col min="23" max="24" width="19.5" style="44" bestFit="1" customWidth="1"/>
    <col min="25" max="16384" width="9.296875" style="44"/>
  </cols>
  <sheetData>
    <row r="1" spans="1:24">
      <c r="A1" s="43" t="s">
        <v>582</v>
      </c>
      <c r="R1" s="90" t="s">
        <v>161</v>
      </c>
      <c r="S1" t="s">
        <v>188</v>
      </c>
      <c r="T1" t="s">
        <v>189</v>
      </c>
      <c r="U1" t="s">
        <v>190</v>
      </c>
      <c r="V1" t="s">
        <v>191</v>
      </c>
      <c r="W1" t="s">
        <v>192</v>
      </c>
      <c r="X1" t="s">
        <v>193</v>
      </c>
    </row>
    <row r="2" spans="1:24">
      <c r="A2" s="267">
        <v>0</v>
      </c>
      <c r="B2" s="44" t="s">
        <v>251</v>
      </c>
      <c r="R2" s="91">
        <v>6</v>
      </c>
      <c r="S2" s="92">
        <v>10443215.550000001</v>
      </c>
      <c r="T2" s="92">
        <v>11917439.43</v>
      </c>
      <c r="U2" s="92">
        <v>271222.10000000003</v>
      </c>
      <c r="V2" s="92">
        <v>33500927.96121601</v>
      </c>
      <c r="W2" s="92">
        <v>7401913.4624009775</v>
      </c>
      <c r="X2" s="92">
        <v>393422.82419621712</v>
      </c>
    </row>
    <row r="3" spans="1:24">
      <c r="R3" s="91" t="s">
        <v>158</v>
      </c>
      <c r="S3" s="92">
        <v>10443215.550000001</v>
      </c>
      <c r="T3" s="92">
        <v>11917439.43</v>
      </c>
      <c r="U3" s="92">
        <v>271222.10000000003</v>
      </c>
      <c r="V3" s="92">
        <v>33500927.96121601</v>
      </c>
      <c r="W3" s="92">
        <v>7401913.4624009775</v>
      </c>
      <c r="X3" s="92">
        <v>393422.82419621712</v>
      </c>
    </row>
    <row r="4" spans="1:24" s="49" customFormat="1">
      <c r="A4" s="61"/>
      <c r="B4" s="52"/>
      <c r="C4" s="53"/>
      <c r="D4" s="62" t="s">
        <v>88</v>
      </c>
      <c r="E4" s="63"/>
      <c r="F4" s="63"/>
      <c r="G4" s="63"/>
      <c r="H4" s="63"/>
      <c r="I4" s="64"/>
      <c r="J4" s="63" t="s">
        <v>89</v>
      </c>
      <c r="K4" s="63"/>
      <c r="L4" s="63"/>
      <c r="M4" s="63"/>
      <c r="N4" s="63"/>
      <c r="O4" s="64"/>
      <c r="P4" s="190"/>
      <c r="Q4" s="190"/>
      <c r="R4"/>
      <c r="S4"/>
      <c r="T4"/>
      <c r="U4"/>
      <c r="V4"/>
      <c r="W4"/>
      <c r="X4"/>
    </row>
    <row r="5" spans="1:24" s="49" customFormat="1">
      <c r="A5" s="65"/>
      <c r="B5" s="57"/>
      <c r="D5" s="51" t="s">
        <v>31</v>
      </c>
      <c r="E5" s="52" t="s">
        <v>31</v>
      </c>
      <c r="F5" s="53" t="s">
        <v>32</v>
      </c>
      <c r="G5" s="52" t="s">
        <v>32</v>
      </c>
      <c r="H5" s="53" t="s">
        <v>87</v>
      </c>
      <c r="I5" s="52" t="s">
        <v>87</v>
      </c>
      <c r="J5" s="53" t="s">
        <v>31</v>
      </c>
      <c r="K5" s="52" t="s">
        <v>31</v>
      </c>
      <c r="L5" s="53" t="s">
        <v>32</v>
      </c>
      <c r="M5" s="52" t="s">
        <v>32</v>
      </c>
      <c r="N5" s="53" t="s">
        <v>87</v>
      </c>
      <c r="O5" s="52" t="s">
        <v>87</v>
      </c>
      <c r="R5"/>
      <c r="S5"/>
      <c r="T5"/>
      <c r="U5"/>
      <c r="V5"/>
      <c r="W5"/>
      <c r="X5"/>
    </row>
    <row r="6" spans="1:24" s="49" customFormat="1">
      <c r="A6" s="60" t="s">
        <v>77</v>
      </c>
      <c r="B6" s="55" t="s">
        <v>85</v>
      </c>
      <c r="C6" s="56" t="s">
        <v>229</v>
      </c>
      <c r="D6" s="54" t="s">
        <v>86</v>
      </c>
      <c r="E6" s="55" t="s">
        <v>181</v>
      </c>
      <c r="F6" s="56" t="s">
        <v>86</v>
      </c>
      <c r="G6" s="55" t="s">
        <v>181</v>
      </c>
      <c r="H6" s="56" t="s">
        <v>86</v>
      </c>
      <c r="I6" s="55" t="s">
        <v>181</v>
      </c>
      <c r="J6" s="56" t="s">
        <v>86</v>
      </c>
      <c r="K6" s="55" t="s">
        <v>2</v>
      </c>
      <c r="L6" s="56" t="s">
        <v>86</v>
      </c>
      <c r="M6" s="55" t="s">
        <v>2</v>
      </c>
      <c r="N6" s="56" t="s">
        <v>86</v>
      </c>
      <c r="O6" s="55" t="s">
        <v>2</v>
      </c>
      <c r="R6"/>
      <c r="S6"/>
      <c r="T6"/>
      <c r="U6"/>
      <c r="V6"/>
      <c r="W6"/>
      <c r="X6"/>
    </row>
    <row r="7" spans="1:24">
      <c r="A7" s="150" t="str">
        <f>+'IBNR+Freq'!B11</f>
        <v>6824F</v>
      </c>
      <c r="B7" s="150">
        <f>+'IBNR+Freq'!C11</f>
        <v>6</v>
      </c>
      <c r="C7" s="150">
        <f>+'IBNR+Freq'!D11</f>
        <v>1</v>
      </c>
      <c r="D7" s="191">
        <f>+ROUND(IF(ISERROR('IBNR+Freq'!W11),0,'IBNR+Freq'!W11),3)</f>
        <v>0</v>
      </c>
      <c r="E7" s="192">
        <f>IF(ISERROR(D7*'Exp Loss Report_PAYROLL'!D7*10),0,D7*'Exp Loss Report_PAYROLL'!D7*10)</f>
        <v>0</v>
      </c>
      <c r="F7" s="191">
        <f>+ROUND(IF(ISERROR('IBNR+Freq'!X11),0,'IBNR+Freq'!X11),3)</f>
        <v>33.814</v>
      </c>
      <c r="G7" s="192">
        <f>IF(ISERROR(F7*'Exp Loss Report_PAYROLL'!F7*10),0,F7*'Exp Loss Report_PAYROLL'!F7*10)</f>
        <v>60188.92</v>
      </c>
      <c r="H7" s="191">
        <f>+ROUND(IF(ISERROR('IBNR+Freq'!Y11),0,'IBNR+Freq'!Y11),3)</f>
        <v>0</v>
      </c>
      <c r="I7" s="192">
        <f>IF(ISERROR(H7*'Exp Loss Report_PAYROLL'!H7*10),0,H7*'Exp Loss Report_PAYROLL'!H7*10)</f>
        <v>0</v>
      </c>
      <c r="J7" s="191">
        <f>+IF(ISERROR(VLOOKUP($A7,UPP!$C$10:$V$20,13,FALSE)),0,VLOOKUP($A7,UPP!$C$10:$V$20,13,FALSE))</f>
        <v>6.0848053973792817</v>
      </c>
      <c r="K7" s="192">
        <f>+IF(ISERROR(VLOOKUP($A7,UPP!$C$10:$V$20,17,FALSE)),0,VLOOKUP($A7,UPP!$C$10:$V$20,17,FALSE))</f>
        <v>10830.953607335121</v>
      </c>
      <c r="L7" s="191">
        <f>+IF(ISERROR(VLOOKUP($A7,UPP!$C$10:$V$20,14,FALSE)),0,VLOOKUP($A7,UPP!$C$10:$V$20,14,FALSE))</f>
        <v>1.2148664820929373</v>
      </c>
      <c r="M7" s="192">
        <f>+IF(ISERROR(VLOOKUP($A7,UPP!$C$10:$V$20,18,FALSE)),0,VLOOKUP($A7,UPP!$C$10:$V$20,18,FALSE))</f>
        <v>2162.4623381254282</v>
      </c>
      <c r="N7" s="191">
        <f>+IF(ISERROR(VLOOKUP($A7,UPP!$C$10:$V$20,15,FALSE)),0,VLOOKUP($A7,UPP!$C$10:$V$20,15,FALSE))</f>
        <v>7.0169012327781735E-2</v>
      </c>
      <c r="O7" s="192">
        <f>+IF(ISERROR(VLOOKUP($A7,UPP!$C$10:$V$20,19,FALSE)),0,VLOOKUP($A7,UPP!$C$10:$V$20,19,FALSE))</f>
        <v>124.9008419434515</v>
      </c>
      <c r="P7" s="50"/>
      <c r="Q7" s="50"/>
      <c r="R7"/>
      <c r="S7"/>
      <c r="T7"/>
      <c r="U7"/>
      <c r="V7"/>
      <c r="W7"/>
      <c r="X7"/>
    </row>
    <row r="8" spans="1:24">
      <c r="A8" s="150" t="str">
        <f>+'IBNR+Freq'!B12</f>
        <v>6826F</v>
      </c>
      <c r="B8" s="150">
        <f>+'IBNR+Freq'!C12</f>
        <v>6</v>
      </c>
      <c r="C8" s="150">
        <f>+'IBNR+Freq'!D12</f>
        <v>1</v>
      </c>
      <c r="D8" s="191">
        <f>+ROUND(IF(ISERROR('IBNR+Freq'!W12),0,'IBNR+Freq'!W12),3)</f>
        <v>0</v>
      </c>
      <c r="E8" s="192">
        <f>IF(ISERROR(D8*'Exp Loss Report_PAYROLL'!D8*10),0,D8*'Exp Loss Report_PAYROLL'!D8*10)</f>
        <v>0</v>
      </c>
      <c r="F8" s="191">
        <f>+ROUND(IF(ISERROR('IBNR+Freq'!X12),0,'IBNR+Freq'!X12),3)</f>
        <v>336.30900000000003</v>
      </c>
      <c r="G8" s="192">
        <f>IF(ISERROR(F8*'Exp Loss Report_PAYROLL'!F8*10),0,F8*'Exp Loss Report_PAYROLL'!F8*10)</f>
        <v>689433.45</v>
      </c>
      <c r="H8" s="191">
        <f>+ROUND(IF(ISERROR('IBNR+Freq'!Y12),0,'IBNR+Freq'!Y12),3)</f>
        <v>0</v>
      </c>
      <c r="I8" s="192">
        <f>IF(ISERROR(H8*'Exp Loss Report_PAYROLL'!H8*10),0,H8*'Exp Loss Report_PAYROLL'!H8*10)</f>
        <v>0</v>
      </c>
      <c r="J8" s="191">
        <f>+IF(ISERROR(VLOOKUP($A8,UPP!$C$10:$V$20,13,FALSE)),0,VLOOKUP($A8,UPP!$C$10:$V$20,13,FALSE))</f>
        <v>5.7218740445542045</v>
      </c>
      <c r="K8" s="192">
        <f>+IF(ISERROR(VLOOKUP($A8,UPP!$C$10:$V$20,17,FALSE)),0,VLOOKUP($A8,UPP!$C$10:$V$20,17,FALSE))</f>
        <v>11729.841791336119</v>
      </c>
      <c r="L8" s="191">
        <f>+IF(ISERROR(VLOOKUP($A8,UPP!$C$10:$V$20,14,FALSE)),0,VLOOKUP($A8,UPP!$C$10:$V$20,14,FALSE))</f>
        <v>1.18089942245802</v>
      </c>
      <c r="M8" s="192">
        <f>+IF(ISERROR(VLOOKUP($A8,UPP!$C$10:$V$20,18,FALSE)),0,VLOOKUP($A8,UPP!$C$10:$V$20,18,FALSE))</f>
        <v>2420.843816038941</v>
      </c>
      <c r="N8" s="191">
        <f>+IF(ISERROR(VLOOKUP($A8,UPP!$C$10:$V$20,15,FALSE)),0,VLOOKUP($A8,UPP!$C$10:$V$20,15,FALSE))</f>
        <v>6.434387878777674E-2</v>
      </c>
      <c r="O8" s="192">
        <f>+IF(ISERROR(VLOOKUP($A8,UPP!$C$10:$V$20,19,FALSE)),0,VLOOKUP($A8,UPP!$C$10:$V$20,19,FALSE))</f>
        <v>131.9049515149423</v>
      </c>
      <c r="P8" s="50"/>
      <c r="Q8" s="50"/>
    </row>
    <row r="9" spans="1:24">
      <c r="A9" s="150" t="str">
        <f>+'IBNR+Freq'!B13</f>
        <v>6843F</v>
      </c>
      <c r="B9" s="150">
        <f>+'IBNR+Freq'!C13</f>
        <v>6</v>
      </c>
      <c r="C9" s="150">
        <f>+'IBNR+Freq'!D13</f>
        <v>1</v>
      </c>
      <c r="D9" s="191">
        <f>+ROUND(IF(ISERROR('IBNR+Freq'!W13),0,'IBNR+Freq'!W13),3)</f>
        <v>5.0659999999999998</v>
      </c>
      <c r="E9" s="192">
        <f>IF(ISERROR(D9*'Exp Loss Report_PAYROLL'!D9*10),0,D9*'Exp Loss Report_PAYROLL'!D9*10)</f>
        <v>2818063.82</v>
      </c>
      <c r="F9" s="191">
        <f>+ROUND(IF(ISERROR('IBNR+Freq'!X13),0,'IBNR+Freq'!X13),3)</f>
        <v>2.3079999999999998</v>
      </c>
      <c r="G9" s="192">
        <f>IF(ISERROR(F9*'Exp Loss Report_PAYROLL'!F9*10),0,F9*'Exp Loss Report_PAYROLL'!F9*10)</f>
        <v>1283871.1599999999</v>
      </c>
      <c r="H9" s="191">
        <f>+ROUND(IF(ISERROR('IBNR+Freq'!Y13),0,'IBNR+Freq'!Y13),3)</f>
        <v>4.2999999999999997E-2</v>
      </c>
      <c r="I9" s="192">
        <f>IF(ISERROR(H9*'Exp Loss Report_PAYROLL'!H9*10),0,H9*'Exp Loss Report_PAYROLL'!H9*10)</f>
        <v>23919.609999999997</v>
      </c>
      <c r="J9" s="191">
        <f>+IF(ISERROR(VLOOKUP($A9,UPP!$C$10:$V$20,13,FALSE)),0,VLOOKUP($A9,UPP!$C$10:$V$20,13,FALSE))</f>
        <v>7.3084260267561234</v>
      </c>
      <c r="K9" s="192">
        <f>+IF(ISERROR(VLOOKUP($A9,UPP!$C$10:$V$20,17,FALSE)),0,VLOOKUP($A9,UPP!$C$10:$V$20,17,FALSE))</f>
        <v>4065458.1459036288</v>
      </c>
      <c r="L9" s="191">
        <f>+IF(ISERROR(VLOOKUP($A9,UPP!$C$10:$V$20,14,FALSE)),0,VLOOKUP($A9,UPP!$C$10:$V$20,14,FALSE))</f>
        <v>1.7469943377712358</v>
      </c>
      <c r="M9" s="192">
        <f>+IF(ISERROR(VLOOKUP($A9,UPP!$C$10:$V$20,18,FALSE)),0,VLOOKUP($A9,UPP!$C$10:$V$20,18,FALSE))</f>
        <v>971800.54027200537</v>
      </c>
      <c r="N9" s="191">
        <f>+IF(ISERROR(VLOOKUP($A9,UPP!$C$10:$V$20,15,FALSE)),0,VLOOKUP($A9,UPP!$C$10:$V$20,15,FALSE))</f>
        <v>9.9828247872642051E-2</v>
      </c>
      <c r="O9" s="192">
        <f>+IF(ISERROR(VLOOKUP($A9,UPP!$C$10:$V$20,19,FALSE)),0,VLOOKUP($A9,UPP!$C$10:$V$20,19,FALSE))</f>
        <v>55531.459444114589</v>
      </c>
      <c r="P9" s="50"/>
      <c r="Q9" s="50"/>
    </row>
    <row r="10" spans="1:24">
      <c r="A10" s="150" t="str">
        <f>+'IBNR+Freq'!B14</f>
        <v>6872F</v>
      </c>
      <c r="B10" s="150">
        <f>+'IBNR+Freq'!C14</f>
        <v>6</v>
      </c>
      <c r="C10" s="150">
        <f>+'IBNR+Freq'!D14</f>
        <v>1</v>
      </c>
      <c r="D10" s="191">
        <f>+ROUND(IF(ISERROR('IBNR+Freq'!W14),0,'IBNR+Freq'!W14),3)</f>
        <v>0</v>
      </c>
      <c r="E10" s="192">
        <f>IF(ISERROR(D10*'Exp Loss Report_PAYROLL'!D10*10),0,D10*'Exp Loss Report_PAYROLL'!D10*10)</f>
        <v>0</v>
      </c>
      <c r="F10" s="191">
        <f>+ROUND(IF(ISERROR('IBNR+Freq'!X14),0,'IBNR+Freq'!X14),3)</f>
        <v>4.407</v>
      </c>
      <c r="G10" s="192">
        <f>IF(ISERROR(F10*'Exp Loss Report_PAYROLL'!F10*10),0,F10*'Exp Loss Report_PAYROLL'!F10*10)</f>
        <v>30276.09</v>
      </c>
      <c r="H10" s="191">
        <f>+ROUND(IF(ISERROR('IBNR+Freq'!Y14),0,'IBNR+Freq'!Y14),3)</f>
        <v>0</v>
      </c>
      <c r="I10" s="192">
        <f>IF(ISERROR(H10*'Exp Loss Report_PAYROLL'!H10*10),0,H10*'Exp Loss Report_PAYROLL'!H10*10)</f>
        <v>0</v>
      </c>
      <c r="J10" s="191">
        <f>+IF(ISERROR(VLOOKUP($A10,UPP!$C$10:$V$20,13,FALSE)),0,VLOOKUP($A10,UPP!$C$10:$V$20,13,FALSE))</f>
        <v>16.24985627212763</v>
      </c>
      <c r="K10" s="192">
        <f>+IF(ISERROR(VLOOKUP($A10,UPP!$C$10:$V$20,17,FALSE)),0,VLOOKUP($A10,UPP!$C$10:$V$20,17,FALSE))</f>
        <v>111636.51258951682</v>
      </c>
      <c r="L10" s="191">
        <f>+IF(ISERROR(VLOOKUP($A10,UPP!$C$10:$V$20,14,FALSE)),0,VLOOKUP($A10,UPP!$C$10:$V$20,14,FALSE))</f>
        <v>2.8749396455745218</v>
      </c>
      <c r="M10" s="192">
        <f>+IF(ISERROR(VLOOKUP($A10,UPP!$C$10:$V$20,18,FALSE)),0,VLOOKUP($A10,UPP!$C$10:$V$20,18,FALSE))</f>
        <v>19750.835365096966</v>
      </c>
      <c r="N10" s="191">
        <f>+IF(ISERROR(VLOOKUP($A10,UPP!$C$10:$V$20,15,FALSE)),0,VLOOKUP($A10,UPP!$C$10:$V$20,15,FALSE))</f>
        <v>0.19251017209785176</v>
      </c>
      <c r="O10" s="192">
        <f>+IF(ISERROR(VLOOKUP($A10,UPP!$C$10:$V$20,19,FALSE)),0,VLOOKUP($A10,UPP!$C$10:$V$20,19,FALSE))</f>
        <v>1322.5448823122417</v>
      </c>
      <c r="P10" s="50"/>
      <c r="Q10" s="50"/>
    </row>
    <row r="11" spans="1:24">
      <c r="A11" s="150" t="str">
        <f>+'IBNR+Freq'!B15</f>
        <v>7309F</v>
      </c>
      <c r="B11" s="150">
        <f>+'IBNR+Freq'!C15</f>
        <v>6</v>
      </c>
      <c r="C11" s="150">
        <f>+'IBNR+Freq'!D15</f>
        <v>1</v>
      </c>
      <c r="D11" s="191">
        <f>+ROUND(IF(ISERROR('IBNR+Freq'!W15),0,'IBNR+Freq'!W15),3)</f>
        <v>7.1820000000000004</v>
      </c>
      <c r="E11" s="192">
        <f>IF(ISERROR(D11*'Exp Loss Report_PAYROLL'!D11*10),0,D11*'Exp Loss Report_PAYROLL'!D11*10)</f>
        <v>3090055.5</v>
      </c>
      <c r="F11" s="191">
        <f>+ROUND(IF(ISERROR('IBNR+Freq'!X15),0,'IBNR+Freq'!X15),3)</f>
        <v>6.452</v>
      </c>
      <c r="G11" s="192">
        <f>IF(ISERROR(F11*'Exp Loss Report_PAYROLL'!F11*10),0,F11*'Exp Loss Report_PAYROLL'!F11*10)</f>
        <v>2775973</v>
      </c>
      <c r="H11" s="191">
        <f>+ROUND(IF(ISERROR('IBNR+Freq'!Y15),0,'IBNR+Freq'!Y15),3)</f>
        <v>8.1000000000000003E-2</v>
      </c>
      <c r="I11" s="192">
        <f>IF(ISERROR(H11*'Exp Loss Report_PAYROLL'!H11*10),0,H11*'Exp Loss Report_PAYROLL'!H11*10)</f>
        <v>34850.25</v>
      </c>
      <c r="J11" s="191">
        <f>+IF(ISERROR(VLOOKUP($A11,UPP!$C$10:$V$20,13,FALSE)),0,VLOOKUP($A11,UPP!$C$10:$V$20,13,FALSE))</f>
        <v>26.24106935860797</v>
      </c>
      <c r="K11" s="192">
        <f>+IF(ISERROR(VLOOKUP($A11,UPP!$C$10:$V$20,17,FALSE)),0,VLOOKUP($A11,UPP!$C$10:$V$20,17,FALSE))</f>
        <v>11290220.091541078</v>
      </c>
      <c r="L11" s="191">
        <f>+IF(ISERROR(VLOOKUP($A11,UPP!$C$10:$V$20,14,FALSE)),0,VLOOKUP($A11,UPP!$C$10:$V$20,14,FALSE))</f>
        <v>4.9443142769340902</v>
      </c>
      <c r="M11" s="192">
        <f>+IF(ISERROR(VLOOKUP($A11,UPP!$C$10:$V$20,18,FALSE)),0,VLOOKUP($A11,UPP!$C$10:$V$20,18,FALSE))</f>
        <v>2127291.2176508922</v>
      </c>
      <c r="N11" s="191">
        <f>+IF(ISERROR(VLOOKUP($A11,UPP!$C$10:$V$20,15,FALSE)),0,VLOOKUP($A11,UPP!$C$10:$V$20,15,FALSE))</f>
        <v>0.24047707065793808</v>
      </c>
      <c r="O11" s="192">
        <f>+IF(ISERROR(VLOOKUP($A11,UPP!$C$10:$V$20,19,FALSE)),0,VLOOKUP($A11,UPP!$C$10:$V$20,19,FALSE))</f>
        <v>103465.25965057786</v>
      </c>
      <c r="P11" s="50"/>
      <c r="Q11" s="50"/>
    </row>
    <row r="12" spans="1:24">
      <c r="A12" s="150" t="str">
        <f>+'IBNR+Freq'!B16</f>
        <v>7313F</v>
      </c>
      <c r="B12" s="150">
        <f>+'IBNR+Freq'!C16</f>
        <v>6</v>
      </c>
      <c r="C12" s="150">
        <f>+'IBNR+Freq'!D16</f>
        <v>1</v>
      </c>
      <c r="D12" s="191">
        <f>+ROUND(IF(ISERROR('IBNR+Freq'!W16),0,'IBNR+Freq'!W16),3)</f>
        <v>0</v>
      </c>
      <c r="E12" s="192">
        <f>IF(ISERROR(D12*'Exp Loss Report_PAYROLL'!D12*10),0,D12*'Exp Loss Report_PAYROLL'!D12*10)</f>
        <v>0</v>
      </c>
      <c r="F12" s="191">
        <f>+ROUND(IF(ISERROR('IBNR+Freq'!X16),0,'IBNR+Freq'!X16),3)</f>
        <v>1.101</v>
      </c>
      <c r="G12" s="192">
        <f>IF(ISERROR(F12*'Exp Loss Report_PAYROLL'!F12*10),0,F12*'Exp Loss Report_PAYROLL'!F12*10)</f>
        <v>635530.23</v>
      </c>
      <c r="H12" s="191">
        <f>+ROUND(IF(ISERROR('IBNR+Freq'!Y16),0,'IBNR+Freq'!Y16),3)</f>
        <v>4.9000000000000002E-2</v>
      </c>
      <c r="I12" s="192">
        <f>IF(ISERROR(H12*'Exp Loss Report_PAYROLL'!H12*10),0,H12*'Exp Loss Report_PAYROLL'!H12*10)</f>
        <v>28284.27</v>
      </c>
      <c r="J12" s="191">
        <f>+IF(ISERROR(VLOOKUP($A12,UPP!$C$10:$V$20,13,FALSE)),0,VLOOKUP($A12,UPP!$C$10:$V$20,13,FALSE))</f>
        <v>5.7145388499764094</v>
      </c>
      <c r="K12" s="192">
        <f>+IF(ISERROR(VLOOKUP($A12,UPP!$C$10:$V$20,17,FALSE)),0,VLOOKUP($A12,UPP!$C$10:$V$20,17,FALSE))</f>
        <v>3298603.2603718829</v>
      </c>
      <c r="L12" s="191">
        <f>+IF(ISERROR(VLOOKUP($A12,UPP!$C$10:$V$20,14,FALSE)),0,VLOOKUP($A12,UPP!$C$10:$V$20,14,FALSE))</f>
        <v>1.0814051733657195</v>
      </c>
      <c r="M12" s="192">
        <f>+IF(ISERROR(VLOOKUP($A12,UPP!$C$10:$V$20,18,FALSE)),0,VLOOKUP($A12,UPP!$C$10:$V$20,18,FALSE))</f>
        <v>624219.50822189427</v>
      </c>
      <c r="N12" s="191">
        <f>+IF(ISERROR(VLOOKUP($A12,UPP!$C$10:$V$20,15,FALSE)),0,VLOOKUP($A12,UPP!$C$10:$V$20,15,FALSE))</f>
        <v>0.10405273145786993</v>
      </c>
      <c r="O12" s="192">
        <f>+IF(ISERROR(VLOOKUP($A12,UPP!$C$10:$V$20,19,FALSE)),0,VLOOKUP($A12,UPP!$C$10:$V$20,19,FALSE))</f>
        <v>60062.358179426265</v>
      </c>
      <c r="P12" s="50"/>
      <c r="Q12" s="50"/>
      <c r="R12"/>
      <c r="S12"/>
      <c r="T12"/>
    </row>
    <row r="13" spans="1:24">
      <c r="A13" s="150" t="str">
        <f>+'IBNR+Freq'!B17</f>
        <v>7317F</v>
      </c>
      <c r="B13" s="150">
        <f>+'IBNR+Freq'!C17</f>
        <v>6</v>
      </c>
      <c r="C13" s="150">
        <f>+'IBNR+Freq'!D17</f>
        <v>1</v>
      </c>
      <c r="D13" s="191">
        <f>+ROUND(IF(ISERROR('IBNR+Freq'!W17),0,'IBNR+Freq'!W17),3)</f>
        <v>0</v>
      </c>
      <c r="E13" s="192">
        <f>IF(ISERROR(D13*'Exp Loss Report_PAYROLL'!D13*10),0,D13*'Exp Loss Report_PAYROLL'!D13*10)</f>
        <v>0</v>
      </c>
      <c r="F13" s="191">
        <f>+ROUND(IF(ISERROR('IBNR+Freq'!X17),0,'IBNR+Freq'!X17),3)</f>
        <v>1.6539999999999999</v>
      </c>
      <c r="G13" s="192">
        <f>IF(ISERROR(F13*'Exp Loss Report_PAYROLL'!F13*10),0,F13*'Exp Loss Report_PAYROLL'!F13*10)</f>
        <v>145022.72</v>
      </c>
      <c r="H13" s="191">
        <f>+ROUND(IF(ISERROR('IBNR+Freq'!Y17),0,'IBNR+Freq'!Y17),3)</f>
        <v>7.6999999999999999E-2</v>
      </c>
      <c r="I13" s="192">
        <f>IF(ISERROR(H13*'Exp Loss Report_PAYROLL'!H13*10),0,H13*'Exp Loss Report_PAYROLL'!H13*10)</f>
        <v>6751.36</v>
      </c>
      <c r="J13" s="191">
        <f>+IF(ISERROR(VLOOKUP($A13,UPP!$C$10:$V$20,13,FALSE)),0,VLOOKUP($A13,UPP!$C$10:$V$20,13,FALSE))</f>
        <v>14.455663266176598</v>
      </c>
      <c r="K13" s="192">
        <f>+IF(ISERROR(VLOOKUP($A13,UPP!$C$10:$V$20,17,FALSE)),0,VLOOKUP($A13,UPP!$C$10:$V$20,17,FALSE))</f>
        <v>1267472.555178364</v>
      </c>
      <c r="L13" s="191">
        <f>+IF(ISERROR(VLOOKUP($A13,UPP!$C$10:$V$20,14,FALSE)),0,VLOOKUP($A13,UPP!$C$10:$V$20,14,FALSE))</f>
        <v>2.9395945150892864</v>
      </c>
      <c r="M13" s="192">
        <f>+IF(ISERROR(VLOOKUP($A13,UPP!$C$10:$V$20,18,FALSE)),0,VLOOKUP($A13,UPP!$C$10:$V$20,18,FALSE))</f>
        <v>257743.64708302863</v>
      </c>
      <c r="N13" s="191">
        <f>+IF(ISERROR(VLOOKUP($A13,UPP!$C$10:$V$20,15,FALSE)),0,VLOOKUP($A13,UPP!$C$10:$V$20,15,FALSE))</f>
        <v>0.13664058793411618</v>
      </c>
      <c r="O13" s="192">
        <f>+IF(ISERROR(VLOOKUP($A13,UPP!$C$10:$V$20,19,FALSE)),0,VLOOKUP($A13,UPP!$C$10:$V$20,19,FALSE))</f>
        <v>11980.646750063306</v>
      </c>
      <c r="P13" s="50"/>
      <c r="Q13" s="50"/>
      <c r="R13"/>
      <c r="S13"/>
      <c r="T13"/>
      <c r="U13"/>
      <c r="V13"/>
      <c r="W13"/>
      <c r="X13"/>
    </row>
    <row r="14" spans="1:24">
      <c r="A14" s="150" t="str">
        <f>+'IBNR+Freq'!B18</f>
        <v>7327F</v>
      </c>
      <c r="B14" s="150">
        <f>+'IBNR+Freq'!C18</f>
        <v>6</v>
      </c>
      <c r="C14" s="150">
        <f>+'IBNR+Freq'!D18</f>
        <v>1</v>
      </c>
      <c r="D14" s="191">
        <f>+ROUND(IF(ISERROR('IBNR+Freq'!W18),0,'IBNR+Freq'!W18),3)</f>
        <v>3.097</v>
      </c>
      <c r="E14" s="192">
        <f>IF(ISERROR(D14*'Exp Loss Report_PAYROLL'!D14*10),0,D14*'Exp Loss Report_PAYROLL'!D14*10)</f>
        <v>1351902.44</v>
      </c>
      <c r="F14" s="191">
        <f>+ROUND(IF(ISERROR('IBNR+Freq'!X18),0,'IBNR+Freq'!X18),3)</f>
        <v>8.3249999999999993</v>
      </c>
      <c r="G14" s="192">
        <f>IF(ISERROR(F14*'Exp Loss Report_PAYROLL'!F14*10),0,F14*'Exp Loss Report_PAYROLL'!F14*10)</f>
        <v>3634028.9999999995</v>
      </c>
      <c r="H14" s="191">
        <f>+ROUND(IF(ISERROR('IBNR+Freq'!Y18),0,'IBNR+Freq'!Y18),3)</f>
        <v>0.14899999999999999</v>
      </c>
      <c r="I14" s="192">
        <f>IF(ISERROR(H14*'Exp Loss Report_PAYROLL'!H14*10),0,H14*'Exp Loss Report_PAYROLL'!H14*10)</f>
        <v>65041.48</v>
      </c>
      <c r="J14" s="191">
        <f>+IF(ISERROR(VLOOKUP($A14,UPP!$C$10:$V$20,13,FALSE)),0,VLOOKUP($A14,UPP!$C$10:$V$20,13,FALSE))</f>
        <v>12.409111519016719</v>
      </c>
      <c r="K14" s="192">
        <f>+IF(ISERROR(VLOOKUP($A14,UPP!$C$10:$V$20,17,FALSE)),0,VLOOKUP($A14,UPP!$C$10:$V$20,17,FALSE))</f>
        <v>5416825.3602811778</v>
      </c>
      <c r="L14" s="191">
        <f>+IF(ISERROR(VLOOKUP($A14,UPP!$C$10:$V$20,14,FALSE)),0,VLOOKUP($A14,UPP!$C$10:$V$20,14,FALSE))</f>
        <v>3.6007328873385203</v>
      </c>
      <c r="M14" s="192">
        <f>+IF(ISERROR(VLOOKUP($A14,UPP!$C$10:$V$20,18,FALSE)),0,VLOOKUP($A14,UPP!$C$10:$V$20,18,FALSE))</f>
        <v>1571791.9199810107</v>
      </c>
      <c r="N14" s="191">
        <f>+IF(ISERROR(VLOOKUP($A14,UPP!$C$10:$V$20,15,FALSE)),0,VLOOKUP($A14,UPP!$C$10:$V$20,15,FALSE))</f>
        <v>0.13936978824476076</v>
      </c>
      <c r="O14" s="192">
        <f>+IF(ISERROR(VLOOKUP($A14,UPP!$C$10:$V$20,19,FALSE)),0,VLOOKUP($A14,UPP!$C$10:$V$20,19,FALSE))</f>
        <v>60837.699964602973</v>
      </c>
      <c r="P14" s="50"/>
      <c r="Q14" s="50"/>
      <c r="R14"/>
      <c r="S14"/>
      <c r="T14"/>
    </row>
    <row r="15" spans="1:24">
      <c r="A15" s="150" t="str">
        <f>+'IBNR+Freq'!B19</f>
        <v>7366F</v>
      </c>
      <c r="B15" s="150">
        <f>+'IBNR+Freq'!C19</f>
        <v>6</v>
      </c>
      <c r="C15" s="150">
        <f>+'IBNR+Freq'!D19</f>
        <v>1</v>
      </c>
      <c r="D15" s="191">
        <f>+ROUND(IF(ISERROR('IBNR+Freq'!W19),0,'IBNR+Freq'!W19),3)</f>
        <v>1.82</v>
      </c>
      <c r="E15" s="192">
        <f>IF(ISERROR(D15*'Exp Loss Report_PAYROLL'!D15*10),0,D15*'Exp Loss Report_PAYROLL'!D15*10)</f>
        <v>1984509.8</v>
      </c>
      <c r="F15" s="191">
        <f>+ROUND(IF(ISERROR('IBNR+Freq'!X19),0,'IBNR+Freq'!X19),3)</f>
        <v>2.1040000000000001</v>
      </c>
      <c r="G15" s="192">
        <f>IF(ISERROR(F15*'Exp Loss Report_PAYROLL'!F15*10),0,F15*'Exp Loss Report_PAYROLL'!F15*10)</f>
        <v>2294180.56</v>
      </c>
      <c r="H15" s="191">
        <f>+ROUND(IF(ISERROR('IBNR+Freq'!Y19),0,'IBNR+Freq'!Y19),3)</f>
        <v>0.08</v>
      </c>
      <c r="I15" s="192">
        <f>IF(ISERROR(H15*'Exp Loss Report_PAYROLL'!H15*10),0,H15*'Exp Loss Report_PAYROLL'!H15*10)</f>
        <v>87231.200000000012</v>
      </c>
      <c r="J15" s="191">
        <f>+IF(ISERROR(VLOOKUP($A15,UPP!$C$10:$V$20,13,FALSE)),0,VLOOKUP($A15,UPP!$C$10:$V$20,13,FALSE))</f>
        <v>6.6258949924837207</v>
      </c>
      <c r="K15" s="192">
        <f>+IF(ISERROR(VLOOKUP($A15,UPP!$C$10:$V$20,17,FALSE)),0,VLOOKUP($A15,UPP!$C$10:$V$20,17,FALSE))</f>
        <v>7224809.6408543251</v>
      </c>
      <c r="L15" s="191">
        <f>+IF(ISERROR(VLOOKUP($A15,UPP!$C$10:$V$20,14,FALSE)),0,VLOOKUP($A15,UPP!$C$10:$V$20,14,FALSE))</f>
        <v>1.4696287541046511</v>
      </c>
      <c r="M15" s="192">
        <f>+IF(ISERROR(VLOOKUP($A15,UPP!$C$10:$V$20,18,FALSE)),0,VLOOKUP($A15,UPP!$C$10:$V$20,18,FALSE))</f>
        <v>1602468.4971881704</v>
      </c>
      <c r="N15" s="191">
        <f>+IF(ISERROR(VLOOKUP($A15,UPP!$C$10:$V$20,15,FALSE)),0,VLOOKUP($A15,UPP!$C$10:$V$20,15,FALSE))</f>
        <v>7.9764237211627911E-2</v>
      </c>
      <c r="O15" s="192">
        <f>+IF(ISERROR(VLOOKUP($A15,UPP!$C$10:$V$20,19,FALSE)),0,VLOOKUP($A15,UPP!$C$10:$V$20,19,FALSE))</f>
        <v>86974.126613186963</v>
      </c>
      <c r="P15" s="50"/>
      <c r="Q15" s="50"/>
      <c r="R15"/>
      <c r="S15"/>
      <c r="T15"/>
    </row>
    <row r="16" spans="1:24">
      <c r="A16" s="150" t="str">
        <f>+'IBNR+Freq'!B20</f>
        <v>8709F</v>
      </c>
      <c r="B16" s="150">
        <f>+'IBNR+Freq'!C20</f>
        <v>6</v>
      </c>
      <c r="C16" s="150">
        <f>+'IBNR+Freq'!D20</f>
        <v>1</v>
      </c>
      <c r="D16" s="191">
        <f>+ROUND(IF(ISERROR('IBNR+Freq'!W20),0,'IBNR+Freq'!W20),3)</f>
        <v>5.101</v>
      </c>
      <c r="E16" s="192">
        <f>IF(ISERROR(D16*'Exp Loss Report_PAYROLL'!D16*10),0,D16*'Exp Loss Report_PAYROLL'!D16*10)</f>
        <v>1198683.99</v>
      </c>
      <c r="F16" s="191">
        <f>+ROUND(IF(ISERROR('IBNR+Freq'!X20),0,'IBNR+Freq'!X20),3)</f>
        <v>1.57</v>
      </c>
      <c r="G16" s="192">
        <f>IF(ISERROR(F16*'Exp Loss Report_PAYROLL'!F16*10),0,F16*'Exp Loss Report_PAYROLL'!F16*10)</f>
        <v>368934.3</v>
      </c>
      <c r="H16" s="191">
        <f>+ROUND(IF(ISERROR('IBNR+Freq'!Y20),0,'IBNR+Freq'!Y20),3)</f>
        <v>0.107</v>
      </c>
      <c r="I16" s="192">
        <f>IF(ISERROR(H16*'Exp Loss Report_PAYROLL'!H16*10),0,H16*'Exp Loss Report_PAYROLL'!H16*10)</f>
        <v>25143.93</v>
      </c>
      <c r="J16" s="191">
        <f>+IF(ISERROR(VLOOKUP($A16,UPP!$C$10:$V$20,13,FALSE)),0,VLOOKUP($A16,UPP!$C$10:$V$20,13,FALSE))</f>
        <v>3.3263551834526317</v>
      </c>
      <c r="K16" s="192">
        <f>+IF(ISERROR(VLOOKUP($A16,UPP!$C$10:$V$20,17,FALSE)),0,VLOOKUP($A16,UPP!$C$10:$V$20,17,FALSE))</f>
        <v>781660.20455953386</v>
      </c>
      <c r="L16" s="191">
        <f>+IF(ISERROR(VLOOKUP($A16,UPP!$C$10:$V$20,14,FALSE)),0,VLOOKUP($A16,UPP!$C$10:$V$20,14,FALSE))</f>
        <v>0.92848326503543377</v>
      </c>
      <c r="M16" s="192">
        <f>+IF(ISERROR(VLOOKUP($A16,UPP!$C$10:$V$20,18,FALSE)),0,VLOOKUP($A16,UPP!$C$10:$V$20,18,FALSE))</f>
        <v>218184.28245067658</v>
      </c>
      <c r="N16" s="191">
        <f>+IF(ISERROR(VLOOKUP($A16,UPP!$C$10:$V$20,15,FALSE)),0,VLOOKUP($A16,UPP!$C$10:$V$20,15,FALSE))</f>
        <v>5.4303493711934769E-2</v>
      </c>
      <c r="O16" s="192">
        <f>+IF(ISERROR(VLOOKUP($A16,UPP!$C$10:$V$20,19,FALSE)),0,VLOOKUP($A16,UPP!$C$10:$V$20,19,FALSE))</f>
        <v>12760.77798736755</v>
      </c>
      <c r="P16" s="50"/>
      <c r="Q16" s="50"/>
      <c r="R16"/>
      <c r="S16"/>
      <c r="T16"/>
    </row>
    <row r="17" spans="1:20">
      <c r="A17" s="150" t="str">
        <f>+'IBNR+Freq'!B21</f>
        <v>8726F</v>
      </c>
      <c r="B17" s="150">
        <f>+'IBNR+Freq'!C21</f>
        <v>6</v>
      </c>
      <c r="C17" s="150">
        <f>+'IBNR+Freq'!D21</f>
        <v>1</v>
      </c>
      <c r="D17" s="191">
        <f>+ROUND(IF(ISERROR('IBNR+Freq'!W21),0,'IBNR+Freq'!W21),3)</f>
        <v>0</v>
      </c>
      <c r="E17" s="192">
        <f>IF(ISERROR(D17*'Exp Loss Report_PAYROLL'!D17*10),0,D17*'Exp Loss Report_PAYROLL'!D17*10)</f>
        <v>0</v>
      </c>
      <c r="F17" s="191">
        <f>+ROUND(IF(ISERROR('IBNR+Freq'!X21),0,'IBNR+Freq'!X21),3)</f>
        <v>0</v>
      </c>
      <c r="G17" s="192">
        <f>IF(ISERROR(F17*'Exp Loss Report_PAYROLL'!F17*10),0,F17*'Exp Loss Report_PAYROLL'!F17*10)</f>
        <v>0</v>
      </c>
      <c r="H17" s="191">
        <f>+ROUND(IF(ISERROR('IBNR+Freq'!Y21),0,'IBNR+Freq'!Y21),3)</f>
        <v>0</v>
      </c>
      <c r="I17" s="192">
        <f>IF(ISERROR(H17*'Exp Loss Report_PAYROLL'!H17*10),0,H17*'Exp Loss Report_PAYROLL'!H17*10)</f>
        <v>0</v>
      </c>
      <c r="J17" s="191">
        <f>+IF(ISERROR(VLOOKUP($A17,UPP!$C$10:$V$20,13,FALSE)),0,VLOOKUP($A17,UPP!$C$10:$V$20,13,FALSE))</f>
        <v>1.9204069564067585</v>
      </c>
      <c r="K17" s="192">
        <f>+IF(ISERROR(VLOOKUP($A17,UPP!$C$10:$V$20,17,FALSE)),0,VLOOKUP($A17,UPP!$C$10:$V$20,17,FALSE))</f>
        <v>21681.394537832304</v>
      </c>
      <c r="L17" s="191">
        <f>+IF(ISERROR(VLOOKUP($A17,UPP!$C$10:$V$20,14,FALSE)),0,VLOOKUP($A17,UPP!$C$10:$V$20,14,FALSE))</f>
        <v>0.36135589318314809</v>
      </c>
      <c r="M17" s="192">
        <f>+IF(ISERROR(VLOOKUP($A17,UPP!$C$10:$V$20,18,FALSE)),0,VLOOKUP($A17,UPP!$C$10:$V$20,18,FALSE))</f>
        <v>4079.708034037742</v>
      </c>
      <c r="N17" s="191">
        <f>+IF(ISERROR(VLOOKUP($A17,UPP!$C$10:$V$20,15,FALSE)),0,VLOOKUP($A17,UPP!$C$10:$V$20,15,FALSE))</f>
        <v>2.0473421710093375E-2</v>
      </c>
      <c r="O17" s="192">
        <f>+IF(ISERROR(VLOOKUP($A17,UPP!$C$10:$V$20,19,FALSE)),0,VLOOKUP($A17,UPP!$C$10:$V$20,19,FALSE))</f>
        <v>231.1449311069542</v>
      </c>
      <c r="P17" s="50"/>
      <c r="Q17" s="50"/>
      <c r="R17"/>
      <c r="S17"/>
      <c r="T17"/>
    </row>
    <row r="19" spans="1:20">
      <c r="G19" s="44">
        <f>SUM(G7:G17)</f>
        <v>11917439.43</v>
      </c>
      <c r="M19" s="44">
        <f>SUM(M7:M17)</f>
        <v>7401913.4624009775</v>
      </c>
    </row>
  </sheetData>
  <pageMargins left="0.7" right="0.7" top="0.75" bottom="0.75" header="0.3" footer="0.3"/>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54EEDBE-592C-461E-8ABA-232E7756E2C2}">
  <sheetPr codeName="Sheet22"/>
  <dimension ref="A1:N73"/>
  <sheetViews>
    <sheetView workbookViewId="0">
      <selection activeCell="M34" sqref="M34"/>
    </sheetView>
  </sheetViews>
  <sheetFormatPr defaultColWidth="10.69921875" defaultRowHeight="12.45"/>
  <cols>
    <col min="1" max="1" width="10.69921875" style="196"/>
    <col min="2" max="4" width="23.296875" style="196" customWidth="1"/>
    <col min="5" max="5" width="12" style="196" customWidth="1"/>
    <col min="6" max="6" width="23.296875" style="196" customWidth="1"/>
    <col min="7" max="7" width="16.296875" style="196" customWidth="1"/>
    <col min="8" max="8" width="10.69921875" style="196"/>
    <col min="9" max="9" width="14.5" style="196" bestFit="1" customWidth="1"/>
    <col min="10" max="12" width="23.296875" style="196" customWidth="1"/>
    <col min="13" max="13" width="12" style="196" customWidth="1"/>
    <col min="14" max="14" width="23.296875" style="196" customWidth="1"/>
    <col min="15" max="16384" width="10.69921875" style="196"/>
  </cols>
  <sheetData>
    <row r="1" spans="1:14" ht="12.9">
      <c r="A1" s="272" t="s">
        <v>252</v>
      </c>
      <c r="B1" s="271" t="s">
        <v>568</v>
      </c>
      <c r="C1" s="269"/>
      <c r="D1" s="269"/>
      <c r="E1" s="273" t="s">
        <v>574</v>
      </c>
    </row>
    <row r="2" spans="1:14" ht="12.9">
      <c r="A2" s="272" t="s">
        <v>253</v>
      </c>
      <c r="B2" s="270" t="s">
        <v>254</v>
      </c>
      <c r="C2" s="269"/>
      <c r="D2" s="269"/>
      <c r="E2" s="274">
        <v>45236</v>
      </c>
    </row>
    <row r="4" spans="1:14">
      <c r="A4" s="193"/>
      <c r="B4" s="193"/>
      <c r="C4" s="193"/>
      <c r="D4" s="193"/>
      <c r="E4" s="193"/>
      <c r="F4" s="194"/>
      <c r="G4" s="195"/>
      <c r="I4" s="193"/>
      <c r="J4" s="193"/>
      <c r="K4" s="193"/>
      <c r="L4" s="193"/>
      <c r="M4" s="193"/>
      <c r="N4" s="194"/>
    </row>
    <row r="5" spans="1:14">
      <c r="A5" s="197" t="s">
        <v>583</v>
      </c>
      <c r="B5" s="198"/>
      <c r="C5" s="198"/>
      <c r="D5" s="198"/>
      <c r="E5" s="198"/>
      <c r="F5" s="198"/>
      <c r="I5" s="197"/>
      <c r="J5" s="198"/>
      <c r="K5" s="198"/>
      <c r="L5" s="198"/>
      <c r="M5" s="198"/>
      <c r="N5" s="198"/>
    </row>
    <row r="6" spans="1:14">
      <c r="B6" s="199"/>
      <c r="C6" s="199"/>
      <c r="D6" s="199"/>
      <c r="E6" s="199"/>
      <c r="F6" s="199"/>
      <c r="J6" s="199"/>
      <c r="K6" s="199"/>
      <c r="L6" s="199"/>
      <c r="M6" s="199"/>
      <c r="N6" s="199"/>
    </row>
    <row r="7" spans="1:14">
      <c r="B7" s="199"/>
      <c r="C7" s="199"/>
      <c r="D7" s="199"/>
      <c r="E7" s="199"/>
      <c r="F7" s="199"/>
      <c r="J7" s="199"/>
      <c r="K7" s="199"/>
      <c r="L7" s="199"/>
      <c r="M7" s="199"/>
      <c r="N7" s="199"/>
    </row>
    <row r="8" spans="1:14">
      <c r="B8" s="198"/>
      <c r="C8" s="198"/>
      <c r="D8" s="198"/>
      <c r="E8" s="198"/>
      <c r="F8" s="199"/>
      <c r="J8" s="198"/>
      <c r="K8" s="198"/>
      <c r="L8" s="198"/>
      <c r="M8" s="198"/>
      <c r="N8" s="199"/>
    </row>
    <row r="9" spans="1:14">
      <c r="B9" s="200" t="s">
        <v>194</v>
      </c>
      <c r="C9" s="200"/>
      <c r="D9" s="200"/>
      <c r="E9" s="200"/>
      <c r="F9" s="201"/>
      <c r="J9" s="200"/>
      <c r="K9" s="200"/>
      <c r="L9" s="200"/>
      <c r="M9" s="200"/>
      <c r="N9" s="201"/>
    </row>
    <row r="10" spans="1:14">
      <c r="A10" s="202" t="s">
        <v>105</v>
      </c>
      <c r="B10" s="203" t="s">
        <v>31</v>
      </c>
      <c r="C10" s="203" t="s">
        <v>119</v>
      </c>
      <c r="D10" s="203" t="s">
        <v>87</v>
      </c>
      <c r="E10" s="203"/>
      <c r="F10" s="204" t="s">
        <v>22</v>
      </c>
      <c r="J10" s="203"/>
      <c r="K10" s="203"/>
      <c r="L10" s="203"/>
      <c r="M10" s="203"/>
      <c r="N10" s="204"/>
    </row>
    <row r="11" spans="1:14">
      <c r="A11" s="202" t="s">
        <v>526</v>
      </c>
      <c r="B11" s="229">
        <f>+'Exp Loss Report'!S2</f>
        <v>10443215.550000001</v>
      </c>
      <c r="C11" s="229">
        <f>+'Exp Loss Report'!T2</f>
        <v>11917439.43</v>
      </c>
      <c r="D11" s="229">
        <f>+'Exp Loss Report'!U2</f>
        <v>271222.10000000003</v>
      </c>
      <c r="E11" s="205"/>
      <c r="F11" s="206">
        <f>SUM(B11:D11)</f>
        <v>22631877.080000002</v>
      </c>
      <c r="J11" s="230"/>
      <c r="K11" s="205"/>
      <c r="L11" s="205"/>
      <c r="M11" s="205"/>
      <c r="N11" s="206"/>
    </row>
    <row r="12" spans="1:14">
      <c r="A12" s="202"/>
      <c r="B12" s="229"/>
      <c r="C12" s="229"/>
      <c r="D12" s="229"/>
      <c r="E12" s="205"/>
      <c r="F12" s="206"/>
      <c r="J12" s="230"/>
      <c r="K12" s="205"/>
      <c r="L12" s="205"/>
      <c r="M12" s="205"/>
      <c r="N12" s="206"/>
    </row>
    <row r="13" spans="1:14">
      <c r="A13" s="202"/>
      <c r="B13" s="229"/>
      <c r="C13" s="229"/>
      <c r="D13" s="229"/>
      <c r="E13" s="205"/>
      <c r="F13" s="206"/>
      <c r="J13" s="230"/>
      <c r="K13" s="205"/>
      <c r="L13" s="205"/>
      <c r="M13" s="205"/>
      <c r="N13" s="206"/>
    </row>
    <row r="14" spans="1:14">
      <c r="A14" s="193"/>
      <c r="B14" s="193"/>
      <c r="C14" s="193"/>
      <c r="D14" s="193"/>
      <c r="E14" s="193"/>
      <c r="F14" s="193"/>
      <c r="J14" s="193"/>
      <c r="K14" s="193"/>
      <c r="L14" s="193"/>
      <c r="M14" s="193"/>
      <c r="N14" s="193"/>
    </row>
    <row r="15" spans="1:14">
      <c r="A15" s="204" t="s">
        <v>198</v>
      </c>
      <c r="B15" s="206">
        <f>SUM(B11:B13)</f>
        <v>10443215.550000001</v>
      </c>
      <c r="C15" s="206">
        <f>SUM(C11:C13)</f>
        <v>11917439.43</v>
      </c>
      <c r="D15" s="206">
        <f>SUM(D11:D13)</f>
        <v>271222.10000000003</v>
      </c>
      <c r="E15" s="206"/>
      <c r="F15" s="206">
        <f>SUM(F11:F13)</f>
        <v>22631877.080000002</v>
      </c>
      <c r="H15" s="207"/>
      <c r="J15" s="206"/>
      <c r="K15" s="206"/>
      <c r="L15" s="206"/>
      <c r="M15" s="206"/>
      <c r="N15" s="206"/>
    </row>
    <row r="16" spans="1:14">
      <c r="A16" s="193"/>
      <c r="B16" s="193"/>
      <c r="C16" s="193"/>
      <c r="D16" s="193"/>
      <c r="E16" s="193"/>
      <c r="F16" s="193"/>
      <c r="H16" s="207"/>
      <c r="J16" s="193"/>
      <c r="K16" s="193"/>
      <c r="L16" s="193"/>
      <c r="M16" s="193"/>
      <c r="N16" s="193"/>
    </row>
    <row r="17" spans="1:14">
      <c r="A17" s="193"/>
      <c r="B17" s="193"/>
      <c r="C17" s="193"/>
      <c r="D17" s="193"/>
      <c r="E17" s="193"/>
      <c r="F17" s="193"/>
      <c r="H17" s="207"/>
      <c r="J17" s="193"/>
      <c r="K17" s="193"/>
      <c r="L17" s="193"/>
      <c r="M17" s="193"/>
      <c r="N17" s="193"/>
    </row>
    <row r="18" spans="1:14">
      <c r="A18" s="193"/>
      <c r="B18" s="200" t="s">
        <v>38</v>
      </c>
      <c r="C18" s="200"/>
      <c r="D18" s="200"/>
      <c r="E18" s="200"/>
      <c r="F18" s="201"/>
      <c r="H18" s="207"/>
      <c r="J18" s="200"/>
      <c r="K18" s="200"/>
      <c r="L18" s="200"/>
      <c r="M18" s="200"/>
      <c r="N18" s="201"/>
    </row>
    <row r="19" spans="1:14">
      <c r="A19" s="202" t="s">
        <v>105</v>
      </c>
      <c r="B19" s="203" t="s">
        <v>31</v>
      </c>
      <c r="C19" s="203" t="s">
        <v>119</v>
      </c>
      <c r="D19" s="203" t="s">
        <v>87</v>
      </c>
      <c r="E19" s="203"/>
      <c r="F19" s="204" t="s">
        <v>22</v>
      </c>
      <c r="H19" s="207"/>
      <c r="J19" s="203"/>
      <c r="K19" s="203"/>
      <c r="L19" s="203"/>
      <c r="M19" s="203"/>
      <c r="N19" s="204"/>
    </row>
    <row r="20" spans="1:14">
      <c r="A20" s="202" t="s">
        <v>526</v>
      </c>
      <c r="B20" s="229">
        <f>+'Exp Loss Report'!V2</f>
        <v>33500927.96121601</v>
      </c>
      <c r="C20" s="229">
        <f>+'Exp Loss Report'!W2</f>
        <v>7401913.4624009775</v>
      </c>
      <c r="D20" s="229">
        <f>+'Exp Loss Report'!X2</f>
        <v>393422.82419621712</v>
      </c>
      <c r="E20" s="205"/>
      <c r="F20" s="206">
        <f>SUM(B20:D20)</f>
        <v>41296264.24781321</v>
      </c>
      <c r="H20" s="207"/>
      <c r="J20" s="230"/>
      <c r="K20" s="205"/>
      <c r="L20" s="205"/>
      <c r="M20" s="205"/>
      <c r="N20" s="206"/>
    </row>
    <row r="21" spans="1:14">
      <c r="A21" s="202"/>
      <c r="B21" s="229"/>
      <c r="C21" s="229"/>
      <c r="D21" s="229"/>
      <c r="E21" s="205"/>
      <c r="F21" s="206"/>
      <c r="H21" s="207"/>
      <c r="J21" s="230"/>
      <c r="K21" s="205"/>
      <c r="L21" s="205"/>
      <c r="M21" s="205"/>
      <c r="N21" s="206"/>
    </row>
    <row r="22" spans="1:14">
      <c r="A22" s="202"/>
      <c r="B22" s="229"/>
      <c r="C22" s="229"/>
      <c r="D22" s="229"/>
      <c r="E22" s="205"/>
      <c r="F22" s="206"/>
      <c r="H22" s="207"/>
      <c r="J22" s="230"/>
      <c r="K22" s="205"/>
      <c r="L22" s="205"/>
      <c r="M22" s="205"/>
      <c r="N22" s="206"/>
    </row>
    <row r="23" spans="1:14">
      <c r="A23" s="193"/>
      <c r="B23" s="193"/>
      <c r="C23" s="193"/>
      <c r="D23" s="193"/>
      <c r="E23" s="193"/>
      <c r="F23" s="193"/>
      <c r="H23" s="207"/>
      <c r="J23" s="193"/>
      <c r="K23" s="193"/>
      <c r="L23" s="193"/>
      <c r="M23" s="193"/>
      <c r="N23" s="193"/>
    </row>
    <row r="24" spans="1:14">
      <c r="A24" s="204" t="s">
        <v>198</v>
      </c>
      <c r="B24" s="206">
        <f>SUM(B20:B22)</f>
        <v>33500927.96121601</v>
      </c>
      <c r="C24" s="206">
        <f>SUM(C20:C22)</f>
        <v>7401913.4624009775</v>
      </c>
      <c r="D24" s="206">
        <f>SUM(D20:D22)</f>
        <v>393422.82419621712</v>
      </c>
      <c r="E24" s="206"/>
      <c r="F24" s="206">
        <f>SUM(F20:F22)</f>
        <v>41296264.24781321</v>
      </c>
      <c r="H24" s="207"/>
      <c r="J24" s="206"/>
      <c r="K24" s="206"/>
      <c r="L24" s="206"/>
      <c r="M24" s="206"/>
      <c r="N24" s="206"/>
    </row>
    <row r="25" spans="1:14">
      <c r="A25" s="193"/>
      <c r="B25" s="193"/>
      <c r="C25" s="193"/>
      <c r="D25" s="193"/>
      <c r="E25" s="193"/>
      <c r="F25" s="193"/>
      <c r="H25" s="207"/>
      <c r="J25" s="193"/>
      <c r="K25" s="193"/>
      <c r="L25" s="193"/>
      <c r="M25" s="193"/>
      <c r="N25" s="193"/>
    </row>
    <row r="26" spans="1:14">
      <c r="A26" s="193"/>
      <c r="B26" s="193"/>
      <c r="C26" s="193"/>
      <c r="D26" s="193"/>
      <c r="E26" s="193"/>
      <c r="F26" s="193"/>
      <c r="J26" s="193"/>
      <c r="K26" s="193"/>
      <c r="L26" s="193"/>
      <c r="M26" s="193"/>
      <c r="N26" s="193"/>
    </row>
    <row r="27" spans="1:14">
      <c r="A27" s="193"/>
      <c r="B27" s="208" t="s">
        <v>199</v>
      </c>
      <c r="C27" s="208"/>
      <c r="D27" s="208"/>
      <c r="E27" s="208"/>
      <c r="F27" s="201"/>
      <c r="J27" s="208"/>
      <c r="K27" s="208"/>
      <c r="L27" s="208"/>
      <c r="M27" s="208"/>
      <c r="N27" s="201"/>
    </row>
    <row r="28" spans="1:14">
      <c r="A28" s="202" t="s">
        <v>105</v>
      </c>
      <c r="B28" s="202" t="s">
        <v>31</v>
      </c>
      <c r="C28" s="202" t="s">
        <v>119</v>
      </c>
      <c r="D28" s="202" t="s">
        <v>87</v>
      </c>
      <c r="E28" s="202"/>
      <c r="F28" s="204" t="s">
        <v>22</v>
      </c>
      <c r="J28" s="202"/>
      <c r="K28" s="202"/>
      <c r="L28" s="202"/>
      <c r="M28" s="202"/>
      <c r="N28" s="204"/>
    </row>
    <row r="29" spans="1:14">
      <c r="A29" s="202" t="s">
        <v>526</v>
      </c>
      <c r="B29" s="209">
        <f>IFERROR(ROUND(B20/B11,4),0)</f>
        <v>3.2079</v>
      </c>
      <c r="C29" s="209">
        <f>ROUND(C20/C11,4)</f>
        <v>0.62109999999999999</v>
      </c>
      <c r="D29" s="209">
        <f>ROUND(D20/D11,4)</f>
        <v>1.4505999999999999</v>
      </c>
      <c r="E29" s="202"/>
      <c r="F29" s="209">
        <f>ROUND(F20/F11,4)</f>
        <v>1.8247</v>
      </c>
      <c r="J29" s="230"/>
      <c r="K29" s="205"/>
      <c r="L29" s="209"/>
      <c r="M29" s="202"/>
      <c r="N29" s="209"/>
    </row>
    <row r="30" spans="1:14">
      <c r="A30" s="202"/>
      <c r="B30" s="209"/>
      <c r="C30" s="209"/>
      <c r="D30" s="209"/>
      <c r="E30" s="202"/>
      <c r="F30" s="209"/>
      <c r="J30" s="230"/>
      <c r="K30" s="205"/>
      <c r="L30" s="209"/>
      <c r="M30" s="202"/>
      <c r="N30" s="209"/>
    </row>
    <row r="31" spans="1:14">
      <c r="A31" s="202"/>
      <c r="B31" s="209"/>
      <c r="C31" s="209"/>
      <c r="D31" s="209"/>
      <c r="E31" s="202"/>
      <c r="F31" s="209"/>
      <c r="J31" s="230"/>
      <c r="K31" s="205"/>
      <c r="L31" s="209"/>
      <c r="M31" s="202"/>
      <c r="N31" s="209"/>
    </row>
    <row r="32" spans="1:14" ht="12.9" thickBot="1">
      <c r="A32" s="193"/>
      <c r="B32" s="193"/>
      <c r="C32" s="193"/>
      <c r="D32" s="193"/>
      <c r="E32" s="193"/>
      <c r="F32" s="193"/>
      <c r="J32" s="193"/>
      <c r="K32" s="193"/>
      <c r="L32" s="193"/>
      <c r="M32" s="193"/>
      <c r="N32" s="193"/>
    </row>
    <row r="33" spans="1:14" ht="12.9" thickBot="1">
      <c r="A33" s="204" t="s">
        <v>198</v>
      </c>
      <c r="B33" s="209">
        <f>IFERROR(ROUND(B24/B15,4),0)</f>
        <v>3.2079</v>
      </c>
      <c r="C33" s="209">
        <f>IFERROR(ROUND(C24/C15,4),0)</f>
        <v>0.62109999999999999</v>
      </c>
      <c r="D33" s="209">
        <f>IFERROR(ROUND(D24/D15,4),0)</f>
        <v>1.4505999999999999</v>
      </c>
      <c r="E33" s="202"/>
      <c r="F33" s="210">
        <f>IFERROR(ROUND(F24/F15,4),0)</f>
        <v>1.8247</v>
      </c>
      <c r="J33" s="209"/>
      <c r="K33" s="209"/>
      <c r="L33" s="209"/>
      <c r="M33" s="202"/>
      <c r="N33" s="210"/>
    </row>
    <row r="34" spans="1:14">
      <c r="A34" s="193"/>
      <c r="B34" s="193"/>
      <c r="C34" s="193"/>
      <c r="D34" s="193"/>
      <c r="E34" s="193"/>
      <c r="F34" s="193"/>
      <c r="J34" s="193"/>
      <c r="K34" s="193"/>
      <c r="L34" s="193"/>
      <c r="M34" s="193"/>
      <c r="N34" s="193"/>
    </row>
    <row r="35" spans="1:14">
      <c r="A35" s="193"/>
      <c r="B35" s="193"/>
      <c r="C35" s="193"/>
      <c r="D35" s="193"/>
      <c r="E35" s="193"/>
      <c r="F35" s="211" t="s">
        <v>200</v>
      </c>
      <c r="J35" s="193"/>
      <c r="K35" s="193"/>
      <c r="L35" s="193"/>
      <c r="M35" s="193"/>
      <c r="N35" s="193"/>
    </row>
    <row r="36" spans="1:14" ht="12.9" hidden="1" thickBot="1">
      <c r="A36" s="212" t="s">
        <v>201</v>
      </c>
      <c r="B36" s="193"/>
      <c r="C36" s="193"/>
      <c r="D36" s="193"/>
      <c r="E36" s="193"/>
      <c r="F36" s="213"/>
      <c r="J36" s="193"/>
      <c r="K36" s="193"/>
      <c r="L36" s="193"/>
      <c r="M36" s="193"/>
      <c r="N36" s="213"/>
    </row>
    <row r="37" spans="1:14" hidden="1">
      <c r="A37" s="193"/>
      <c r="B37" s="208"/>
      <c r="C37" s="208"/>
      <c r="D37" s="208"/>
      <c r="E37" s="208"/>
      <c r="F37" s="201"/>
      <c r="J37" s="208"/>
      <c r="K37" s="208"/>
      <c r="L37" s="208"/>
      <c r="M37" s="208"/>
      <c r="N37" s="201"/>
    </row>
    <row r="38" spans="1:14" hidden="1">
      <c r="A38" s="202" t="s">
        <v>105</v>
      </c>
      <c r="B38" s="202"/>
      <c r="C38" s="202"/>
      <c r="D38" s="202"/>
      <c r="E38" s="202"/>
      <c r="F38" s="204"/>
      <c r="J38" s="202"/>
      <c r="K38" s="202"/>
      <c r="L38" s="202"/>
      <c r="M38" s="202"/>
      <c r="N38" s="204"/>
    </row>
    <row r="39" spans="1:14" hidden="1">
      <c r="A39" s="202" t="s">
        <v>195</v>
      </c>
      <c r="B39" s="214"/>
      <c r="C39" s="215"/>
      <c r="D39" s="216"/>
      <c r="E39" s="202"/>
      <c r="F39" s="209"/>
      <c r="J39" s="214"/>
      <c r="K39" s="215"/>
      <c r="L39" s="216"/>
      <c r="M39" s="202"/>
      <c r="N39" s="209"/>
    </row>
    <row r="40" spans="1:14" hidden="1">
      <c r="A40" s="202" t="s">
        <v>196</v>
      </c>
      <c r="B40" s="217" t="e">
        <f>#REF!*$Y$36+#REF!*(1-$Y$36)</f>
        <v>#REF!</v>
      </c>
      <c r="C40" s="209" t="e">
        <f>#REF!*$Y$36+#REF!*(1-$Y$36)</f>
        <v>#REF!</v>
      </c>
      <c r="D40" s="218" t="e">
        <f>#REF!*$Y$36+#REF!*(1-$Y$36)</f>
        <v>#REF!</v>
      </c>
      <c r="E40" s="202"/>
      <c r="F40" s="209" t="e">
        <f>#REF!*$Y$36+#REF!*(1-$Y$36)</f>
        <v>#REF!</v>
      </c>
      <c r="J40" s="217"/>
      <c r="K40" s="209"/>
      <c r="L40" s="218"/>
      <c r="M40" s="202"/>
      <c r="N40" s="209"/>
    </row>
    <row r="41" spans="1:14" ht="12.9" hidden="1" thickBot="1">
      <c r="A41" s="202" t="s">
        <v>197</v>
      </c>
      <c r="B41" s="219" t="e">
        <f>#REF!*$Y$36+#REF!*(1-$Y$36)</f>
        <v>#REF!</v>
      </c>
      <c r="C41" s="220" t="e">
        <f>#REF!*$Y$36+#REF!*(1-$Y$36)</f>
        <v>#REF!</v>
      </c>
      <c r="D41" s="221" t="e">
        <f>#REF!*$Y$36+#REF!*(1-$Y$36)</f>
        <v>#REF!</v>
      </c>
      <c r="E41" s="202"/>
      <c r="F41" s="209" t="e">
        <f>#REF!*$Y$36+#REF!*(1-$Y$36)</f>
        <v>#REF!</v>
      </c>
      <c r="J41" s="219"/>
      <c r="K41" s="220"/>
      <c r="L41" s="221"/>
      <c r="M41" s="202"/>
      <c r="N41" s="209"/>
    </row>
    <row r="42" spans="1:14" hidden="1">
      <c r="A42" s="193"/>
      <c r="B42" s="209"/>
      <c r="C42" s="209"/>
      <c r="D42" s="209"/>
      <c r="E42" s="202"/>
      <c r="F42" s="209"/>
      <c r="J42" s="209"/>
      <c r="K42" s="209"/>
      <c r="L42" s="209"/>
      <c r="M42" s="202"/>
      <c r="N42" s="209"/>
    </row>
    <row r="43" spans="1:14" hidden="1">
      <c r="A43" s="204" t="s">
        <v>198</v>
      </c>
      <c r="B43" s="209" t="e">
        <f>#REF!*$Y$36+#REF!*(1-$Y$36)</f>
        <v>#REF!</v>
      </c>
      <c r="C43" s="209" t="e">
        <f>#REF!*$Y$36+#REF!*(1-$Y$36)</f>
        <v>#REF!</v>
      </c>
      <c r="D43" s="209" t="e">
        <f>#REF!*$Y$36+#REF!*(1-$Y$36)</f>
        <v>#REF!</v>
      </c>
      <c r="E43" s="202"/>
      <c r="F43" s="209" t="e">
        <f>#REF!*$Y$36+#REF!*(1-$Y$36)</f>
        <v>#REF!</v>
      </c>
      <c r="J43" s="209"/>
      <c r="K43" s="209"/>
      <c r="L43" s="209"/>
      <c r="M43" s="202"/>
      <c r="N43" s="209"/>
    </row>
    <row r="44" spans="1:14" hidden="1">
      <c r="A44" s="193"/>
      <c r="B44" s="193"/>
      <c r="C44" s="193"/>
      <c r="D44" s="193"/>
      <c r="E44" s="193"/>
      <c r="F44" s="193"/>
      <c r="J44" s="193"/>
      <c r="K44" s="193"/>
      <c r="L44" s="193"/>
      <c r="M44" s="193"/>
      <c r="N44" s="193"/>
    </row>
    <row r="45" spans="1:14" hidden="1">
      <c r="A45" s="193"/>
      <c r="B45" s="193"/>
      <c r="C45" s="193"/>
      <c r="D45" s="193"/>
      <c r="E45" s="193"/>
      <c r="F45" s="193"/>
      <c r="J45" s="193"/>
      <c r="K45" s="193"/>
      <c r="L45" s="193"/>
      <c r="M45" s="193"/>
      <c r="N45" s="193"/>
    </row>
    <row r="46" spans="1:14" ht="12.9" hidden="1" thickBot="1">
      <c r="A46" s="212" t="s">
        <v>201</v>
      </c>
      <c r="B46" s="193"/>
      <c r="C46" s="193"/>
      <c r="D46" s="193"/>
      <c r="E46" s="193"/>
      <c r="F46" s="213">
        <v>1</v>
      </c>
      <c r="J46" s="193"/>
      <c r="K46" s="193"/>
      <c r="L46" s="193"/>
      <c r="M46" s="193"/>
      <c r="N46" s="213"/>
    </row>
    <row r="47" spans="1:14" hidden="1">
      <c r="A47" s="193"/>
      <c r="B47" s="208" t="s">
        <v>199</v>
      </c>
      <c r="C47" s="208"/>
      <c r="D47" s="208"/>
      <c r="E47" s="208"/>
      <c r="F47" s="201"/>
      <c r="J47" s="208"/>
      <c r="K47" s="208"/>
      <c r="L47" s="208"/>
      <c r="M47" s="208"/>
      <c r="N47" s="201"/>
    </row>
    <row r="48" spans="1:14" hidden="1">
      <c r="A48" s="202" t="s">
        <v>105</v>
      </c>
      <c r="B48" s="202" t="s">
        <v>31</v>
      </c>
      <c r="C48" s="202" t="s">
        <v>119</v>
      </c>
      <c r="D48" s="202" t="s">
        <v>87</v>
      </c>
      <c r="E48" s="202"/>
      <c r="F48" s="204" t="s">
        <v>22</v>
      </c>
      <c r="J48" s="202"/>
      <c r="K48" s="202"/>
      <c r="L48" s="202"/>
      <c r="M48" s="202"/>
      <c r="N48" s="204"/>
    </row>
    <row r="49" spans="1:14" hidden="1">
      <c r="A49" s="202" t="s">
        <v>195</v>
      </c>
      <c r="B49" s="214" t="e">
        <f>#REF!*$Y$46+#REF!*(1-$Y$46)</f>
        <v>#REF!</v>
      </c>
      <c r="C49" s="215" t="e">
        <f>#REF!*$Y$46+#REF!*(1-$Y$46)</f>
        <v>#REF!</v>
      </c>
      <c r="D49" s="216" t="e">
        <f>#REF!*$Y$46+#REF!*(1-$Y$46)</f>
        <v>#REF!</v>
      </c>
      <c r="E49" s="202"/>
      <c r="F49" s="209" t="e">
        <f>#REF!*$Y$46+#REF!*(1-$Y$46)</f>
        <v>#REF!</v>
      </c>
      <c r="J49" s="214"/>
      <c r="K49" s="215"/>
      <c r="L49" s="216"/>
      <c r="M49" s="202"/>
      <c r="N49" s="209"/>
    </row>
    <row r="50" spans="1:14" hidden="1">
      <c r="A50" s="202" t="s">
        <v>196</v>
      </c>
      <c r="B50" s="217" t="e">
        <f>#REF!*$Y$46+#REF!*(1-$Y$46)</f>
        <v>#REF!</v>
      </c>
      <c r="C50" s="209" t="e">
        <f>#REF!*$Y$46+#REF!*(1-$Y$46)</f>
        <v>#REF!</v>
      </c>
      <c r="D50" s="218" t="e">
        <f>#REF!*$Y$46+#REF!*(1-$Y$46)</f>
        <v>#REF!</v>
      </c>
      <c r="E50" s="202"/>
      <c r="F50" s="209" t="e">
        <f>#REF!*$Y$46+#REF!*(1-$Y$46)</f>
        <v>#REF!</v>
      </c>
      <c r="J50" s="217"/>
      <c r="K50" s="209"/>
      <c r="L50" s="218"/>
      <c r="M50" s="202"/>
      <c r="N50" s="209"/>
    </row>
    <row r="51" spans="1:14" ht="12.9" hidden="1" thickBot="1">
      <c r="A51" s="202" t="s">
        <v>197</v>
      </c>
      <c r="B51" s="219" t="e">
        <f>#REF!*$Y$46+#REF!*(1-$Y$46)</f>
        <v>#REF!</v>
      </c>
      <c r="C51" s="220" t="e">
        <f>#REF!*$Y$46+#REF!*(1-$Y$46)</f>
        <v>#REF!</v>
      </c>
      <c r="D51" s="221" t="e">
        <f>#REF!*$Y$46+#REF!*(1-$Y$46)</f>
        <v>#REF!</v>
      </c>
      <c r="E51" s="202"/>
      <c r="F51" s="209" t="e">
        <f>#REF!*$Y$46+#REF!*(1-$Y$46)</f>
        <v>#REF!</v>
      </c>
      <c r="J51" s="219"/>
      <c r="K51" s="220"/>
      <c r="L51" s="221"/>
      <c r="M51" s="202"/>
      <c r="N51" s="209"/>
    </row>
    <row r="52" spans="1:14" hidden="1">
      <c r="A52" s="193"/>
      <c r="B52" s="209"/>
      <c r="C52" s="209"/>
      <c r="D52" s="209"/>
      <c r="E52" s="202"/>
      <c r="F52" s="209"/>
      <c r="J52" s="209"/>
      <c r="K52" s="209"/>
      <c r="L52" s="209"/>
      <c r="M52" s="202"/>
      <c r="N52" s="209"/>
    </row>
    <row r="53" spans="1:14" hidden="1">
      <c r="A53" s="204" t="s">
        <v>198</v>
      </c>
      <c r="B53" s="209" t="e">
        <f>#REF!*$Y$46+#REF!*(1-$Y$46)</f>
        <v>#REF!</v>
      </c>
      <c r="C53" s="209" t="e">
        <f>#REF!*$Y$46+#REF!*(1-$Y$46)</f>
        <v>#REF!</v>
      </c>
      <c r="D53" s="209" t="e">
        <f>#REF!*$Y$46+#REF!*(1-$Y$46)</f>
        <v>#REF!</v>
      </c>
      <c r="E53" s="202"/>
      <c r="F53" s="209" t="e">
        <f>#REF!*$Y$46+#REF!*(1-$Y$46)</f>
        <v>#REF!</v>
      </c>
      <c r="J53" s="209"/>
      <c r="K53" s="209"/>
      <c r="L53" s="209"/>
      <c r="M53" s="202"/>
      <c r="N53" s="209"/>
    </row>
    <row r="54" spans="1:14" hidden="1">
      <c r="A54" s="193"/>
      <c r="B54" s="193"/>
      <c r="C54" s="193"/>
      <c r="D54" s="193"/>
      <c r="E54" s="193"/>
      <c r="F54" s="193"/>
      <c r="J54" s="193"/>
      <c r="K54" s="193"/>
      <c r="L54" s="193"/>
      <c r="M54" s="193"/>
      <c r="N54" s="193"/>
    </row>
    <row r="55" spans="1:14" hidden="1">
      <c r="A55" s="193"/>
      <c r="B55" s="222" t="s">
        <v>202</v>
      </c>
      <c r="C55" s="201"/>
      <c r="D55" s="201"/>
      <c r="E55" s="201"/>
      <c r="F55" s="193"/>
      <c r="J55" s="222"/>
      <c r="K55" s="201"/>
      <c r="L55" s="201"/>
      <c r="M55" s="201"/>
      <c r="N55" s="193"/>
    </row>
    <row r="56" spans="1:14" hidden="1">
      <c r="A56" s="193"/>
      <c r="B56" s="222" t="s">
        <v>203</v>
      </c>
      <c r="C56" s="201"/>
      <c r="D56" s="201"/>
      <c r="E56" s="201"/>
      <c r="F56" s="193"/>
      <c r="J56" s="222"/>
      <c r="K56" s="201"/>
      <c r="L56" s="201"/>
      <c r="M56" s="201"/>
      <c r="N56" s="193"/>
    </row>
    <row r="57" spans="1:14" hidden="1">
      <c r="A57" s="193"/>
      <c r="B57" s="201" t="s">
        <v>204</v>
      </c>
      <c r="C57" s="201"/>
      <c r="D57" s="201"/>
      <c r="E57" s="201"/>
      <c r="F57" s="193"/>
      <c r="J57" s="201"/>
      <c r="K57" s="201"/>
      <c r="L57" s="201"/>
      <c r="M57" s="201"/>
      <c r="N57" s="193"/>
    </row>
    <row r="58" spans="1:14" hidden="1">
      <c r="A58" s="193"/>
      <c r="B58" s="222" t="s">
        <v>205</v>
      </c>
      <c r="C58" s="201"/>
      <c r="D58" s="201"/>
      <c r="E58" s="201"/>
      <c r="F58" s="193"/>
      <c r="J58" s="222"/>
      <c r="K58" s="201"/>
      <c r="L58" s="201"/>
      <c r="M58" s="201"/>
      <c r="N58" s="193"/>
    </row>
    <row r="59" spans="1:14" hidden="1">
      <c r="A59" s="193"/>
      <c r="B59" s="201" t="s">
        <v>206</v>
      </c>
      <c r="C59" s="201"/>
      <c r="D59" s="201"/>
      <c r="E59" s="201"/>
      <c r="F59" s="193"/>
      <c r="J59" s="201"/>
      <c r="K59" s="201"/>
      <c r="L59" s="201"/>
      <c r="M59" s="201"/>
      <c r="N59" s="193"/>
    </row>
    <row r="60" spans="1:14">
      <c r="A60" s="211" t="s">
        <v>200</v>
      </c>
      <c r="B60" s="223"/>
      <c r="C60" s="223"/>
      <c r="D60" s="224"/>
      <c r="E60" s="193"/>
      <c r="F60" s="193"/>
      <c r="J60" s="223"/>
      <c r="K60" s="223"/>
      <c r="L60" s="223"/>
      <c r="M60" s="193"/>
      <c r="N60" s="193"/>
    </row>
    <row r="61" spans="1:14" ht="12.9" thickBot="1">
      <c r="B61" s="223"/>
      <c r="C61" s="223"/>
      <c r="D61" s="223"/>
      <c r="E61" s="193"/>
      <c r="F61" s="193"/>
      <c r="I61" s="193"/>
      <c r="J61" s="223"/>
      <c r="K61" s="223"/>
      <c r="L61" s="223"/>
      <c r="M61" s="193"/>
      <c r="N61" s="193"/>
    </row>
    <row r="62" spans="1:14" ht="12.9" thickBot="1">
      <c r="A62" s="193"/>
      <c r="B62" s="225">
        <f>ROUND(F33,3)</f>
        <v>1.825</v>
      </c>
      <c r="C62" s="223"/>
      <c r="D62" s="226"/>
      <c r="E62" s="193"/>
      <c r="F62" s="193"/>
      <c r="I62" s="193"/>
      <c r="J62" s="223"/>
      <c r="K62" s="223"/>
      <c r="L62" s="223"/>
      <c r="M62" s="193"/>
      <c r="N62" s="193"/>
    </row>
    <row r="63" spans="1:14">
      <c r="A63" s="193"/>
      <c r="B63" s="223"/>
      <c r="C63" s="223"/>
      <c r="D63" s="226"/>
      <c r="E63" s="193"/>
      <c r="F63" s="193"/>
      <c r="I63" s="193"/>
      <c r="J63" s="223"/>
      <c r="K63" s="223"/>
      <c r="L63" s="223"/>
      <c r="M63" s="193"/>
      <c r="N63" s="193"/>
    </row>
    <row r="64" spans="1:14">
      <c r="A64" s="193"/>
      <c r="B64" s="223"/>
      <c r="C64" s="223"/>
      <c r="D64" s="226"/>
      <c r="E64" s="193"/>
      <c r="F64" s="193"/>
      <c r="I64" s="193"/>
      <c r="J64" s="223"/>
      <c r="K64" s="223"/>
      <c r="L64" s="223"/>
      <c r="M64" s="193"/>
      <c r="N64" s="193"/>
    </row>
    <row r="65" spans="1:14">
      <c r="A65" s="193"/>
      <c r="B65" s="223"/>
      <c r="C65" s="223"/>
      <c r="D65" s="226"/>
      <c r="E65" s="193"/>
      <c r="F65" s="193"/>
      <c r="I65" s="193"/>
      <c r="J65" s="223"/>
      <c r="K65" s="223"/>
      <c r="L65" s="223"/>
      <c r="M65" s="193"/>
      <c r="N65" s="193"/>
    </row>
    <row r="66" spans="1:14">
      <c r="A66" s="193"/>
      <c r="B66" s="223"/>
      <c r="C66" s="223"/>
      <c r="D66" s="226"/>
      <c r="E66" s="193"/>
      <c r="F66" s="193"/>
      <c r="I66" s="193"/>
      <c r="J66" s="223"/>
      <c r="K66" s="223"/>
      <c r="L66" s="223"/>
      <c r="M66" s="193"/>
      <c r="N66" s="193"/>
    </row>
    <row r="67" spans="1:14">
      <c r="B67" s="223"/>
      <c r="C67" s="223"/>
      <c r="D67" s="226"/>
      <c r="E67" s="193"/>
      <c r="F67" s="193"/>
      <c r="G67" s="464"/>
      <c r="J67" s="223"/>
      <c r="K67" s="223"/>
      <c r="L67" s="223"/>
      <c r="M67" s="193"/>
      <c r="N67" s="193"/>
    </row>
    <row r="68" spans="1:14">
      <c r="B68" s="223"/>
      <c r="C68" s="223"/>
      <c r="D68" s="226"/>
      <c r="E68" s="193"/>
      <c r="F68" s="193"/>
      <c r="G68" s="464"/>
      <c r="J68" s="223"/>
      <c r="K68" s="223"/>
      <c r="L68" s="223"/>
      <c r="M68" s="193"/>
      <c r="N68" s="193"/>
    </row>
    <row r="69" spans="1:14">
      <c r="B69" s="193"/>
      <c r="C69" s="193"/>
      <c r="D69" s="226"/>
      <c r="E69" s="193"/>
      <c r="F69" s="193"/>
      <c r="J69" s="193"/>
      <c r="K69" s="193"/>
      <c r="L69" s="193"/>
      <c r="M69" s="193"/>
      <c r="N69" s="193"/>
    </row>
    <row r="70" spans="1:14">
      <c r="B70" s="223"/>
      <c r="C70" s="223"/>
      <c r="D70" s="226"/>
    </row>
    <row r="71" spans="1:14">
      <c r="B71" s="223"/>
      <c r="C71" s="223"/>
      <c r="D71" s="226"/>
    </row>
    <row r="72" spans="1:14">
      <c r="B72" s="223"/>
      <c r="C72" s="223"/>
      <c r="D72" s="226"/>
    </row>
    <row r="73" spans="1:14">
      <c r="B73" s="223"/>
      <c r="C73" s="223"/>
      <c r="D73" s="223"/>
    </row>
  </sheetData>
  <phoneticPr fontId="0" type="noConversion"/>
  <pageMargins left="0.7" right="0.7" top="0.75" bottom="0.75" header="0.3" footer="0.3"/>
</worksheet>
</file>

<file path=xl/worksheets/sheet2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7DD5E1B-378F-4671-8701-25F10DBF68A9}">
  <sheetPr codeName="Sheet19"/>
  <dimension ref="A1:AI17"/>
  <sheetViews>
    <sheetView topLeftCell="D1" workbookViewId="0">
      <pane ySplit="6" topLeftCell="A7" activePane="bottomLeft" state="frozen"/>
      <selection activeCell="M34" sqref="M34"/>
      <selection pane="bottomLeft" activeCell="M34" sqref="M34"/>
    </sheetView>
  </sheetViews>
  <sheetFormatPr defaultColWidth="9.296875" defaultRowHeight="12.9"/>
  <cols>
    <col min="1" max="1" width="9.296875" style="44"/>
    <col min="2" max="2" width="5.5" style="44" bestFit="1" customWidth="1"/>
    <col min="3" max="3" width="14" style="44" customWidth="1"/>
    <col min="4" max="4" width="15.5" style="44" bestFit="1" customWidth="1"/>
    <col min="5" max="5" width="14" style="44" customWidth="1"/>
    <col min="6" max="6" width="15.5" style="44" bestFit="1" customWidth="1"/>
    <col min="7" max="7" width="14" style="44" customWidth="1"/>
    <col min="8" max="8" width="15.5" style="44" bestFit="1" customWidth="1"/>
    <col min="9" max="9" width="14" style="44" customWidth="1"/>
    <col min="10" max="10" width="15.796875" style="44" bestFit="1" customWidth="1"/>
    <col min="11" max="11" width="14" style="44" customWidth="1"/>
    <col min="12" max="12" width="15.796875" style="44" bestFit="1" customWidth="1"/>
    <col min="13" max="13" width="14" style="44" customWidth="1"/>
    <col min="14" max="14" width="12.796875" style="44" bestFit="1" customWidth="1"/>
    <col min="15" max="15" width="13.5" style="44" customWidth="1"/>
    <col min="16" max="16" width="11.19921875" style="44" bestFit="1" customWidth="1"/>
    <col min="17" max="17" width="10" style="44" bestFit="1" customWidth="1"/>
    <col min="18" max="18" width="10.796875" style="44" bestFit="1" customWidth="1"/>
    <col min="19" max="19" width="10.19921875" style="44" bestFit="1" customWidth="1"/>
    <col min="20" max="20" width="9.69921875" style="44" bestFit="1" customWidth="1"/>
    <col min="21" max="21" width="17" style="44" bestFit="1" customWidth="1"/>
    <col min="22" max="22" width="14.296875" style="44" bestFit="1" customWidth="1"/>
    <col min="23" max="23" width="10" style="44" bestFit="1" customWidth="1"/>
    <col min="24" max="24" width="11.69921875" style="44" bestFit="1" customWidth="1"/>
    <col min="25" max="25" width="9.296875" style="471" customWidth="1"/>
    <col min="26" max="26" width="10.19921875" style="44" customWidth="1"/>
    <col min="27" max="27" width="12.296875" style="44" bestFit="1" customWidth="1"/>
    <col min="28" max="16384" width="9.296875" style="44"/>
  </cols>
  <sheetData>
    <row r="1" spans="1:35">
      <c r="A1" s="43" t="s">
        <v>575</v>
      </c>
    </row>
    <row r="2" spans="1:35">
      <c r="O2" s="251" t="s">
        <v>238</v>
      </c>
      <c r="P2" s="182"/>
      <c r="Q2" s="96"/>
    </row>
    <row r="3" spans="1:35">
      <c r="O3" s="320">
        <f>'POST-TEST Factor'!B33</f>
        <v>3.2079</v>
      </c>
      <c r="P3" s="320">
        <f>'POST-TEST Factor'!C33</f>
        <v>0.62109999999999999</v>
      </c>
      <c r="Q3" s="320">
        <f>'POST-TEST Factor'!D33</f>
        <v>1.4505999999999999</v>
      </c>
    </row>
    <row r="4" spans="1:35">
      <c r="A4" s="58"/>
      <c r="B4" s="48"/>
      <c r="C4" s="45" t="s">
        <v>88</v>
      </c>
      <c r="D4" s="46"/>
      <c r="E4" s="46"/>
      <c r="F4" s="46"/>
      <c r="G4" s="46"/>
      <c r="H4" s="47"/>
      <c r="I4" s="46" t="s">
        <v>89</v>
      </c>
      <c r="J4" s="46"/>
      <c r="K4" s="46"/>
      <c r="L4" s="46"/>
      <c r="M4" s="46"/>
      <c r="N4" s="47"/>
      <c r="O4" s="252" t="s">
        <v>239</v>
      </c>
      <c r="P4" s="253"/>
      <c r="Q4" s="254"/>
    </row>
    <row r="5" spans="1:35">
      <c r="A5" s="59"/>
      <c r="B5" s="57"/>
      <c r="C5" s="51" t="s">
        <v>31</v>
      </c>
      <c r="D5" s="52" t="s">
        <v>31</v>
      </c>
      <c r="E5" s="53" t="s">
        <v>32</v>
      </c>
      <c r="F5" s="52" t="s">
        <v>32</v>
      </c>
      <c r="G5" s="53" t="s">
        <v>87</v>
      </c>
      <c r="H5" s="52" t="s">
        <v>87</v>
      </c>
      <c r="I5" s="53" t="s">
        <v>31</v>
      </c>
      <c r="J5" s="52" t="s">
        <v>31</v>
      </c>
      <c r="K5" s="53" t="s">
        <v>32</v>
      </c>
      <c r="L5" s="52" t="s">
        <v>32</v>
      </c>
      <c r="M5" s="53" t="s">
        <v>87</v>
      </c>
      <c r="N5" s="52" t="s">
        <v>87</v>
      </c>
      <c r="O5" s="255"/>
      <c r="P5" s="256"/>
      <c r="Q5" s="48"/>
      <c r="R5" s="251" t="s">
        <v>290</v>
      </c>
      <c r="S5" s="182"/>
      <c r="T5" s="96"/>
      <c r="U5" s="136" t="s">
        <v>291</v>
      </c>
      <c r="V5" s="137" t="s">
        <v>292</v>
      </c>
      <c r="W5" s="138" t="s">
        <v>293</v>
      </c>
      <c r="X5" s="58" t="s">
        <v>83</v>
      </c>
      <c r="Z5" s="251" t="s">
        <v>305</v>
      </c>
      <c r="AA5" s="182"/>
      <c r="AB5" s="96"/>
    </row>
    <row r="6" spans="1:35">
      <c r="A6" s="60" t="s">
        <v>77</v>
      </c>
      <c r="B6" s="55" t="s">
        <v>85</v>
      </c>
      <c r="C6" s="54" t="s">
        <v>86</v>
      </c>
      <c r="D6" s="55" t="s">
        <v>2</v>
      </c>
      <c r="E6" s="56" t="s">
        <v>86</v>
      </c>
      <c r="F6" s="55" t="s">
        <v>2</v>
      </c>
      <c r="G6" s="56" t="s">
        <v>86</v>
      </c>
      <c r="H6" s="55" t="s">
        <v>2</v>
      </c>
      <c r="I6" s="56" t="s">
        <v>86</v>
      </c>
      <c r="J6" s="55" t="s">
        <v>2</v>
      </c>
      <c r="K6" s="56" t="s">
        <v>86</v>
      </c>
      <c r="L6" s="55" t="s">
        <v>2</v>
      </c>
      <c r="M6" s="56" t="s">
        <v>86</v>
      </c>
      <c r="N6" s="55" t="s">
        <v>2</v>
      </c>
      <c r="O6" s="124" t="s">
        <v>31</v>
      </c>
      <c r="P6" s="144" t="s">
        <v>32</v>
      </c>
      <c r="Q6" s="108" t="s">
        <v>148</v>
      </c>
      <c r="R6" s="124" t="s">
        <v>18</v>
      </c>
      <c r="S6" s="144" t="s">
        <v>19</v>
      </c>
      <c r="T6" s="108" t="s">
        <v>148</v>
      </c>
      <c r="U6" s="133" t="s">
        <v>22</v>
      </c>
      <c r="V6" s="134" t="s">
        <v>22</v>
      </c>
      <c r="W6" s="135" t="s">
        <v>22</v>
      </c>
      <c r="X6" s="109" t="s">
        <v>84</v>
      </c>
      <c r="Z6" s="133" t="s">
        <v>18</v>
      </c>
      <c r="AA6" s="134" t="s">
        <v>19</v>
      </c>
      <c r="AB6" s="135" t="s">
        <v>148</v>
      </c>
    </row>
    <row r="7" spans="1:35">
      <c r="A7" s="150" t="str">
        <f>+'IBNR+Freq'!B11</f>
        <v>6824F</v>
      </c>
      <c r="B7" s="150">
        <f>+'IBNR+Freq'!C11</f>
        <v>6</v>
      </c>
      <c r="C7" s="191">
        <f>+'IBNR+Freq'!W11</f>
        <v>0</v>
      </c>
      <c r="D7" s="150">
        <f>+'IBNR+Freq'!J11</f>
        <v>178</v>
      </c>
      <c r="E7" s="191">
        <f>+'IBNR+Freq'!X11</f>
        <v>33.813710898876408</v>
      </c>
      <c r="F7" s="150">
        <f>++D7</f>
        <v>178</v>
      </c>
      <c r="G7" s="191">
        <f>+'IBNR+Freq'!Y11</f>
        <v>0</v>
      </c>
      <c r="H7" s="150">
        <f>+F7</f>
        <v>178</v>
      </c>
      <c r="I7" s="191">
        <f>++IFERROR(VLOOKUP($A7,UPP!$C$10:$V$20,13,FALSE),0)</f>
        <v>6.0848053973792817</v>
      </c>
      <c r="J7" s="192">
        <f>+D7</f>
        <v>178</v>
      </c>
      <c r="K7" s="191">
        <f>+IFERROR(VLOOKUP($A7,UPP!$C$10:$V$20,14,FALSE),0)</f>
        <v>1.2148664820929373</v>
      </c>
      <c r="L7" s="192">
        <f>+D7</f>
        <v>178</v>
      </c>
      <c r="M7" s="191">
        <f>+IFERROR(VLOOKUP($A7,UPP!$C$10:$V$20,15,FALSE),0)</f>
        <v>7.0169012327781735E-2</v>
      </c>
      <c r="N7" s="192">
        <f>+D7</f>
        <v>178</v>
      </c>
      <c r="O7" s="265">
        <f>+(C7*$O$3)</f>
        <v>0</v>
      </c>
      <c r="P7" s="265">
        <f>+(E7*$P$3)</f>
        <v>21.001695839292136</v>
      </c>
      <c r="Q7" s="265">
        <f>+(G7*$Q$3)</f>
        <v>0</v>
      </c>
      <c r="R7" s="191">
        <f>+O7*VLOOKUP($A7,UPP!$C10:$AC$20,25,FALSE)+I7*(1-VLOOKUP($A7,UPP!$C10:$AC$20,25,FALSE))</f>
        <v>6.0848053973792817</v>
      </c>
      <c r="S7" s="191">
        <f>+P7*VLOOKUP($A7,UPP!$C10:$AC$20,26,FALSE)+K7*(1-VLOOKUP($A7,UPP!$C10:$AC$20,26,FALSE))</f>
        <v>1.2148664820929373</v>
      </c>
      <c r="T7" s="191">
        <f>+Q7*VLOOKUP($A7,UPP!$C10:$AC$20,27,FALSE)+M7*(1-VLOOKUP($A7,UPP!$C10:$AC$20,27,FALSE))</f>
        <v>7.0169012327781735E-2</v>
      </c>
      <c r="U7" s="191">
        <f>+I7+K7+M7</f>
        <v>7.3698408918000009</v>
      </c>
      <c r="V7" s="314">
        <f>+O7+P7+Q7</f>
        <v>21.001695839292136</v>
      </c>
      <c r="W7" s="314">
        <f>+R7+S7+T7</f>
        <v>7.3698408918000009</v>
      </c>
      <c r="X7" s="191">
        <f>MEDIAN(U7:W7)</f>
        <v>7.3698408918000009</v>
      </c>
      <c r="Z7" s="191">
        <f t="shared" ref="Z7:Z17" si="0">R7/SUM($R7:$T7)*$X7</f>
        <v>6.0848053973792817</v>
      </c>
      <c r="AA7" s="191">
        <f t="shared" ref="AA7:AA17" si="1">S7/SUM($R7:$T7)*$X7</f>
        <v>1.2148664820929373</v>
      </c>
      <c r="AB7" s="191">
        <f t="shared" ref="AB7:AB17" si="2">T7/SUM($R7:$T7)*$X7</f>
        <v>7.0169012327781735E-2</v>
      </c>
      <c r="AC7" s="191"/>
      <c r="AG7" s="479"/>
      <c r="AH7" s="480"/>
      <c r="AI7" s="480"/>
    </row>
    <row r="8" spans="1:35">
      <c r="A8" s="150" t="str">
        <f>+'IBNR+Freq'!B12</f>
        <v>6826F</v>
      </c>
      <c r="B8" s="150">
        <f>+'IBNR+Freq'!C12</f>
        <v>6</v>
      </c>
      <c r="C8" s="191">
        <f>+'IBNR+Freq'!W12</f>
        <v>0</v>
      </c>
      <c r="D8" s="150">
        <f>+'IBNR+Freq'!J12</f>
        <v>205</v>
      </c>
      <c r="E8" s="191">
        <f>+'IBNR+Freq'!X12</f>
        <v>336.30851629268295</v>
      </c>
      <c r="F8" s="150">
        <f t="shared" ref="F8:F17" si="3">++D8</f>
        <v>205</v>
      </c>
      <c r="G8" s="191">
        <f>+'IBNR+Freq'!Y12</f>
        <v>0</v>
      </c>
      <c r="H8" s="150">
        <f t="shared" ref="H8:H17" si="4">+F8</f>
        <v>205</v>
      </c>
      <c r="I8" s="191">
        <f>++IFERROR(VLOOKUP($A8,UPP!$C$10:$V$20,13,FALSE),0)</f>
        <v>5.7218740445542045</v>
      </c>
      <c r="J8" s="192">
        <f t="shared" ref="J8:J17" si="5">+D8</f>
        <v>205</v>
      </c>
      <c r="K8" s="191">
        <f>+IFERROR(VLOOKUP($A8,UPP!$C$10:$V$20,14,FALSE),0)</f>
        <v>1.18089942245802</v>
      </c>
      <c r="L8" s="192">
        <f t="shared" ref="L8:L17" si="6">+D8</f>
        <v>205</v>
      </c>
      <c r="M8" s="191">
        <f>+IFERROR(VLOOKUP($A8,UPP!$C$10:$V$20,15,FALSE),0)</f>
        <v>6.434387878777674E-2</v>
      </c>
      <c r="N8" s="192">
        <f t="shared" ref="N8:N17" si="7">+D8</f>
        <v>205</v>
      </c>
      <c r="O8" s="265">
        <f t="shared" ref="O8:O17" si="8">+(C8*$O$3)</f>
        <v>0</v>
      </c>
      <c r="P8" s="265">
        <f t="shared" ref="P8:P17" si="9">+(E8*$P$3)</f>
        <v>208.88121946938537</v>
      </c>
      <c r="Q8" s="265">
        <f t="shared" ref="Q8:Q17" si="10">+(G8*$Q$3)</f>
        <v>0</v>
      </c>
      <c r="R8" s="191">
        <f>+O8*VLOOKUP($A8,UPP!$C11:$AC$20,25,FALSE)+I8*(1-VLOOKUP($A8,UPP!$C11:$AC$20,25,FALSE))</f>
        <v>5.7218740445542045</v>
      </c>
      <c r="S8" s="191">
        <f>+P8*VLOOKUP($A8,UPP!$C11:$AC$20,26,FALSE)+K8*(1-VLOOKUP($A8,UPP!$C11:$AC$20,26,FALSE))</f>
        <v>1.18089942245802</v>
      </c>
      <c r="T8" s="191">
        <f>+Q8*VLOOKUP($A8,UPP!$C11:$AC$20,27,FALSE)+M8*(1-VLOOKUP($A8,UPP!$C11:$AC$20,27,FALSE))</f>
        <v>6.434387878777674E-2</v>
      </c>
      <c r="U8" s="191">
        <f t="shared" ref="U8:U17" si="11">+I8+K8+M8</f>
        <v>6.9671173458000011</v>
      </c>
      <c r="V8" s="314">
        <f t="shared" ref="V8:V17" si="12">+O8+P8+Q8</f>
        <v>208.88121946938537</v>
      </c>
      <c r="W8" s="314">
        <f t="shared" ref="W8:W17" si="13">+R8+S8+T8</f>
        <v>6.9671173458000011</v>
      </c>
      <c r="X8" s="191">
        <f t="shared" ref="X8:X17" si="14">MEDIAN(U8:W8)</f>
        <v>6.9671173458000011</v>
      </c>
      <c r="Z8" s="191">
        <f t="shared" si="0"/>
        <v>5.7218740445542045</v>
      </c>
      <c r="AA8" s="191">
        <f t="shared" si="1"/>
        <v>1.18089942245802</v>
      </c>
      <c r="AB8" s="191">
        <f t="shared" si="2"/>
        <v>6.434387878777674E-2</v>
      </c>
      <c r="AC8" s="191"/>
      <c r="AG8" s="479"/>
      <c r="AH8" s="480"/>
      <c r="AI8" s="480"/>
    </row>
    <row r="9" spans="1:35">
      <c r="A9" s="150" t="str">
        <f>+'IBNR+Freq'!B13</f>
        <v>6843F</v>
      </c>
      <c r="B9" s="150">
        <f>+'IBNR+Freq'!C13</f>
        <v>6</v>
      </c>
      <c r="C9" s="191">
        <f>+'IBNR+Freq'!W13</f>
        <v>5.0664127898322748</v>
      </c>
      <c r="D9" s="150">
        <f>+'IBNR+Freq'!J13</f>
        <v>55627</v>
      </c>
      <c r="E9" s="191">
        <f>+'IBNR+Freq'!X13</f>
        <v>2.3075295002426883</v>
      </c>
      <c r="F9" s="150">
        <f t="shared" si="3"/>
        <v>55627</v>
      </c>
      <c r="G9" s="191">
        <f>+'IBNR+Freq'!Y13</f>
        <v>4.2901457925108313E-2</v>
      </c>
      <c r="H9" s="150">
        <f t="shared" si="4"/>
        <v>55627</v>
      </c>
      <c r="I9" s="191">
        <f>++IFERROR(VLOOKUP($A9,UPP!$C$10:$V$20,13,FALSE),0)</f>
        <v>7.3084260267561234</v>
      </c>
      <c r="J9" s="192">
        <f t="shared" si="5"/>
        <v>55627</v>
      </c>
      <c r="K9" s="191">
        <f>+IFERROR(VLOOKUP($A9,UPP!$C$10:$V$20,14,FALSE),0)</f>
        <v>1.7469943377712358</v>
      </c>
      <c r="L9" s="192">
        <f t="shared" si="6"/>
        <v>55627</v>
      </c>
      <c r="M9" s="191">
        <f>+IFERROR(VLOOKUP($A9,UPP!$C$10:$V$20,15,FALSE),0)</f>
        <v>9.9828247872642051E-2</v>
      </c>
      <c r="N9" s="192">
        <f t="shared" si="7"/>
        <v>55627</v>
      </c>
      <c r="O9" s="265">
        <f t="shared" si="8"/>
        <v>16.252545588502954</v>
      </c>
      <c r="P9" s="265">
        <f t="shared" si="9"/>
        <v>1.4332065726007337</v>
      </c>
      <c r="Q9" s="265">
        <f t="shared" si="10"/>
        <v>6.2232854866162111E-2</v>
      </c>
      <c r="R9" s="191">
        <f>+O9*VLOOKUP($A9,UPP!$C12:$AC$20,25,FALSE)+I9*(1-VLOOKUP($A9,UPP!$C12:$AC$20,25,FALSE))</f>
        <v>7.3978672223735922</v>
      </c>
      <c r="S9" s="191">
        <f>+P9*VLOOKUP($A9,UPP!$C12:$AC$20,26,FALSE)+K9*(1-VLOOKUP($A9,UPP!$C12:$AC$20,26,FALSE))</f>
        <v>1.7344428271644157</v>
      </c>
      <c r="T9" s="191">
        <f>+Q9*VLOOKUP($A9,UPP!$C12:$AC$20,27,FALSE)+M9*(1-VLOOKUP($A9,UPP!$C12:$AC$20,27,FALSE))</f>
        <v>9.7196570362188456E-2</v>
      </c>
      <c r="U9" s="191">
        <f t="shared" si="11"/>
        <v>9.1552486124000012</v>
      </c>
      <c r="V9" s="314">
        <f t="shared" si="12"/>
        <v>17.747985015969853</v>
      </c>
      <c r="W9" s="314">
        <f t="shared" si="13"/>
        <v>9.2295066199001958</v>
      </c>
      <c r="X9" s="191">
        <f t="shared" si="14"/>
        <v>9.2295066199001958</v>
      </c>
      <c r="Z9" s="191">
        <f t="shared" si="0"/>
        <v>7.3978672223735922</v>
      </c>
      <c r="AA9" s="191">
        <f t="shared" si="1"/>
        <v>1.7344428271644157</v>
      </c>
      <c r="AB9" s="191">
        <f t="shared" si="2"/>
        <v>9.7196570362188456E-2</v>
      </c>
      <c r="AC9" s="191"/>
      <c r="AG9" s="479"/>
      <c r="AH9" s="480"/>
      <c r="AI9" s="480"/>
    </row>
    <row r="10" spans="1:35">
      <c r="A10" s="150" t="str">
        <f>+'IBNR+Freq'!B14</f>
        <v>6872F</v>
      </c>
      <c r="B10" s="150">
        <f>+'IBNR+Freq'!C14</f>
        <v>6</v>
      </c>
      <c r="C10" s="191">
        <f>+'IBNR+Freq'!W14</f>
        <v>0</v>
      </c>
      <c r="D10" s="150">
        <f>+'IBNR+Freq'!J14</f>
        <v>687</v>
      </c>
      <c r="E10" s="191">
        <f>+'IBNR+Freq'!X14</f>
        <v>4.4065847743813684</v>
      </c>
      <c r="F10" s="150">
        <f t="shared" si="3"/>
        <v>687</v>
      </c>
      <c r="G10" s="191">
        <f>+'IBNR+Freq'!Y14</f>
        <v>0</v>
      </c>
      <c r="H10" s="150">
        <f t="shared" si="4"/>
        <v>687</v>
      </c>
      <c r="I10" s="191">
        <f>++IFERROR(VLOOKUP($A10,UPP!$C$10:$V$20,13,FALSE),0)</f>
        <v>16.24985627212763</v>
      </c>
      <c r="J10" s="192">
        <f t="shared" si="5"/>
        <v>687</v>
      </c>
      <c r="K10" s="191">
        <f>+IFERROR(VLOOKUP($A10,UPP!$C$10:$V$20,14,FALSE),0)</f>
        <v>2.8749396455745218</v>
      </c>
      <c r="L10" s="192">
        <f t="shared" si="6"/>
        <v>687</v>
      </c>
      <c r="M10" s="191">
        <f>+IFERROR(VLOOKUP($A10,UPP!$C$10:$V$20,15,FALSE),0)</f>
        <v>0.19251017209785176</v>
      </c>
      <c r="N10" s="192">
        <f t="shared" si="7"/>
        <v>687</v>
      </c>
      <c r="O10" s="265">
        <f t="shared" si="8"/>
        <v>0</v>
      </c>
      <c r="P10" s="265">
        <f t="shared" si="9"/>
        <v>2.7369298033682679</v>
      </c>
      <c r="Q10" s="265">
        <f t="shared" si="10"/>
        <v>0</v>
      </c>
      <c r="R10" s="191">
        <f>+O10*VLOOKUP($A10,UPP!$C13:$AC$20,25,FALSE)+I10*(1-VLOOKUP($A10,UPP!$C13:$AC$20,25,FALSE))</f>
        <v>16.24985627212763</v>
      </c>
      <c r="S10" s="191">
        <f>+P10*VLOOKUP($A10,UPP!$C13:$AC$20,26,FALSE)+K10*(1-VLOOKUP($A10,UPP!$C13:$AC$20,26,FALSE))</f>
        <v>2.8749396455745218</v>
      </c>
      <c r="T10" s="191">
        <f>+Q10*VLOOKUP($A10,UPP!$C13:$AC$20,27,FALSE)+M10*(1-VLOOKUP($A10,UPP!$C13:$AC$20,27,FALSE))</f>
        <v>0.19251017209785176</v>
      </c>
      <c r="U10" s="191">
        <f t="shared" si="11"/>
        <v>19.317306089800002</v>
      </c>
      <c r="V10" s="314">
        <f t="shared" si="12"/>
        <v>2.7369298033682679</v>
      </c>
      <c r="W10" s="314">
        <f t="shared" si="13"/>
        <v>19.317306089800002</v>
      </c>
      <c r="X10" s="191">
        <f t="shared" si="14"/>
        <v>19.317306089800002</v>
      </c>
      <c r="Z10" s="191">
        <f t="shared" si="0"/>
        <v>16.24985627212763</v>
      </c>
      <c r="AA10" s="191">
        <f t="shared" si="1"/>
        <v>2.8749396455745218</v>
      </c>
      <c r="AB10" s="191">
        <f t="shared" si="2"/>
        <v>0.19251017209785173</v>
      </c>
      <c r="AC10" s="191"/>
      <c r="AG10" s="479"/>
      <c r="AH10" s="480"/>
      <c r="AI10" s="480"/>
    </row>
    <row r="11" spans="1:35">
      <c r="A11" s="150" t="str">
        <f>+'IBNR+Freq'!B15</f>
        <v>7309F</v>
      </c>
      <c r="B11" s="150">
        <f>+'IBNR+Freq'!C15</f>
        <v>6</v>
      </c>
      <c r="C11" s="191">
        <f>+'IBNR+Freq'!W15</f>
        <v>7.1823467281812903</v>
      </c>
      <c r="D11" s="150">
        <f>+'IBNR+Freq'!J15</f>
        <v>43025</v>
      </c>
      <c r="E11" s="191">
        <f>+'IBNR+Freq'!X15</f>
        <v>6.4522030772806511</v>
      </c>
      <c r="F11" s="150">
        <f t="shared" si="3"/>
        <v>43025</v>
      </c>
      <c r="G11" s="191">
        <f>+'IBNR+Freq'!Y15</f>
        <v>8.0799774549680403E-2</v>
      </c>
      <c r="H11" s="150">
        <f t="shared" si="4"/>
        <v>43025</v>
      </c>
      <c r="I11" s="191">
        <f>++IFERROR(VLOOKUP($A11,UPP!$C$10:$V$20,13,FALSE),0)</f>
        <v>26.24106935860797</v>
      </c>
      <c r="J11" s="192">
        <f t="shared" si="5"/>
        <v>43025</v>
      </c>
      <c r="K11" s="191">
        <f>+IFERROR(VLOOKUP($A11,UPP!$C$10:$V$20,14,FALSE),0)</f>
        <v>4.9443142769340902</v>
      </c>
      <c r="L11" s="192">
        <f t="shared" si="6"/>
        <v>43025</v>
      </c>
      <c r="M11" s="191">
        <f>+IFERROR(VLOOKUP($A11,UPP!$C$10:$V$20,15,FALSE),0)</f>
        <v>0.24047707065793808</v>
      </c>
      <c r="N11" s="192">
        <f t="shared" si="7"/>
        <v>43025</v>
      </c>
      <c r="O11" s="265">
        <f t="shared" si="8"/>
        <v>23.04025006933276</v>
      </c>
      <c r="P11" s="265">
        <f t="shared" si="9"/>
        <v>4.0074633312990127</v>
      </c>
      <c r="Q11" s="265">
        <f t="shared" si="10"/>
        <v>0.11720815296176638</v>
      </c>
      <c r="R11" s="191">
        <f>+O11*VLOOKUP($A11,UPP!$C14:$AC$20,25,FALSE)+I11*(1-VLOOKUP($A11,UPP!$C14:$AC$20,25,FALSE))</f>
        <v>26.209061165715216</v>
      </c>
      <c r="S11" s="191">
        <f>+P11*VLOOKUP($A11,UPP!$C14:$AC$20,26,FALSE)+K11*(1-VLOOKUP($A11,UPP!$C14:$AC$20,26,FALSE))</f>
        <v>4.9068402391086874</v>
      </c>
      <c r="T11" s="191">
        <f>+Q11*VLOOKUP($A11,UPP!$C14:$AC$20,27,FALSE)+M11*(1-VLOOKUP($A11,UPP!$C14:$AC$20,27,FALSE))</f>
        <v>0.23308093559616777</v>
      </c>
      <c r="U11" s="191">
        <f t="shared" si="11"/>
        <v>31.425860706199998</v>
      </c>
      <c r="V11" s="314">
        <f t="shared" si="12"/>
        <v>27.164921553593537</v>
      </c>
      <c r="W11" s="314">
        <f t="shared" si="13"/>
        <v>31.348982340420068</v>
      </c>
      <c r="X11" s="191">
        <f t="shared" si="14"/>
        <v>31.348982340420068</v>
      </c>
      <c r="Z11" s="191">
        <f t="shared" si="0"/>
        <v>26.209061165715216</v>
      </c>
      <c r="AA11" s="191">
        <f t="shared" si="1"/>
        <v>4.9068402391086874</v>
      </c>
      <c r="AB11" s="191">
        <f t="shared" si="2"/>
        <v>0.23308093559616777</v>
      </c>
      <c r="AC11" s="191"/>
      <c r="AG11" s="479"/>
      <c r="AH11" s="480"/>
      <c r="AI11" s="480"/>
    </row>
    <row r="12" spans="1:35">
      <c r="A12" s="150" t="str">
        <f>+'IBNR+Freq'!B16</f>
        <v>7313F</v>
      </c>
      <c r="B12" s="150">
        <f>+'IBNR+Freq'!C16</f>
        <v>6</v>
      </c>
      <c r="C12" s="191">
        <f>+'IBNR+Freq'!W16</f>
        <v>0</v>
      </c>
      <c r="D12" s="150">
        <f>+'IBNR+Freq'!J16</f>
        <v>57723</v>
      </c>
      <c r="E12" s="191">
        <f>+'IBNR+Freq'!X16</f>
        <v>1.1009037820279612</v>
      </c>
      <c r="F12" s="150">
        <f t="shared" si="3"/>
        <v>57723</v>
      </c>
      <c r="G12" s="191">
        <f>+'IBNR+Freq'!Y16</f>
        <v>4.9183720527346111E-2</v>
      </c>
      <c r="H12" s="150">
        <f t="shared" si="4"/>
        <v>57723</v>
      </c>
      <c r="I12" s="191">
        <f>++IFERROR(VLOOKUP($A12,UPP!$C$10:$V$20,13,FALSE),0)</f>
        <v>5.7145388499764094</v>
      </c>
      <c r="J12" s="192">
        <f t="shared" si="5"/>
        <v>57723</v>
      </c>
      <c r="K12" s="191">
        <f>+IFERROR(VLOOKUP($A12,UPP!$C$10:$V$20,14,FALSE),0)</f>
        <v>1.0814051733657195</v>
      </c>
      <c r="L12" s="192">
        <f t="shared" si="6"/>
        <v>57723</v>
      </c>
      <c r="M12" s="191">
        <f>+IFERROR(VLOOKUP($A12,UPP!$C$10:$V$20,15,FALSE),0)</f>
        <v>0.10405273145786993</v>
      </c>
      <c r="N12" s="192">
        <f t="shared" si="7"/>
        <v>57723</v>
      </c>
      <c r="O12" s="265">
        <f t="shared" si="8"/>
        <v>0</v>
      </c>
      <c r="P12" s="265">
        <f t="shared" si="9"/>
        <v>0.6837713390175667</v>
      </c>
      <c r="Q12" s="265">
        <f t="shared" si="10"/>
        <v>7.134590499696826E-2</v>
      </c>
      <c r="R12" s="191">
        <f>+O12*VLOOKUP($A12,UPP!$C15:$AC$20,25,FALSE)+I12*(1-VLOOKUP($A12,UPP!$C15:$AC$20,25,FALSE))</f>
        <v>5.6573934614766452</v>
      </c>
      <c r="S12" s="191">
        <f>+P12*VLOOKUP($A12,UPP!$C15:$AC$20,26,FALSE)+K12*(1-VLOOKUP($A12,UPP!$C15:$AC$20,26,FALSE))</f>
        <v>1.0615234816483119</v>
      </c>
      <c r="T12" s="191">
        <f>+Q12*VLOOKUP($A12,UPP!$C15:$AC$20,27,FALSE)+M12*(1-VLOOKUP($A12,UPP!$C15:$AC$20,27,FALSE))</f>
        <v>0.10176325360560681</v>
      </c>
      <c r="U12" s="191">
        <f t="shared" si="11"/>
        <v>6.8999967547999983</v>
      </c>
      <c r="V12" s="314">
        <f t="shared" si="12"/>
        <v>0.75511724401453495</v>
      </c>
      <c r="W12" s="314">
        <f t="shared" si="13"/>
        <v>6.8206801967305637</v>
      </c>
      <c r="X12" s="191">
        <f t="shared" si="14"/>
        <v>6.8206801967305637</v>
      </c>
      <c r="Z12" s="191">
        <f t="shared" si="0"/>
        <v>5.6573934614766452</v>
      </c>
      <c r="AA12" s="191">
        <f t="shared" si="1"/>
        <v>1.0615234816483119</v>
      </c>
      <c r="AB12" s="191">
        <f t="shared" si="2"/>
        <v>0.10176325360560681</v>
      </c>
      <c r="AC12" s="191"/>
      <c r="AG12" s="479"/>
      <c r="AH12" s="480"/>
      <c r="AI12" s="480"/>
    </row>
    <row r="13" spans="1:35">
      <c r="A13" s="150" t="str">
        <f>+'IBNR+Freq'!B17</f>
        <v>7317F</v>
      </c>
      <c r="B13" s="150">
        <f>+'IBNR+Freq'!C17</f>
        <v>6</v>
      </c>
      <c r="C13" s="191">
        <f>+'IBNR+Freq'!W17</f>
        <v>0</v>
      </c>
      <c r="D13" s="150">
        <f>+'IBNR+Freq'!J17</f>
        <v>8768</v>
      </c>
      <c r="E13" s="191">
        <f>+'IBNR+Freq'!X17</f>
        <v>1.6538669525547445</v>
      </c>
      <c r="F13" s="150">
        <f t="shared" si="3"/>
        <v>8768</v>
      </c>
      <c r="G13" s="191">
        <f>+'IBNR+Freq'!Y17</f>
        <v>7.6822833029197082E-2</v>
      </c>
      <c r="H13" s="150">
        <f t="shared" si="4"/>
        <v>8768</v>
      </c>
      <c r="I13" s="191">
        <f>++IFERROR(VLOOKUP($A13,UPP!$C$10:$V$20,13,FALSE),0)</f>
        <v>14.455663266176598</v>
      </c>
      <c r="J13" s="192">
        <f t="shared" si="5"/>
        <v>8768</v>
      </c>
      <c r="K13" s="191">
        <f>+IFERROR(VLOOKUP($A13,UPP!$C$10:$V$20,14,FALSE),0)</f>
        <v>2.9395945150892864</v>
      </c>
      <c r="L13" s="192">
        <f t="shared" si="6"/>
        <v>8768</v>
      </c>
      <c r="M13" s="191">
        <f>+IFERROR(VLOOKUP($A13,UPP!$C$10:$V$20,15,FALSE),0)</f>
        <v>0.13664058793411618</v>
      </c>
      <c r="N13" s="192">
        <f t="shared" si="7"/>
        <v>8768</v>
      </c>
      <c r="O13" s="265">
        <f t="shared" si="8"/>
        <v>0</v>
      </c>
      <c r="P13" s="265">
        <f t="shared" si="9"/>
        <v>1.0272167642317518</v>
      </c>
      <c r="Q13" s="265">
        <f t="shared" si="10"/>
        <v>0.11143920159215327</v>
      </c>
      <c r="R13" s="191">
        <f>+O13*VLOOKUP($A13,UPP!$C16:$AC$20,25,FALSE)+I13*(1-VLOOKUP($A13,UPP!$C16:$AC$20,25,FALSE))</f>
        <v>14.455663266176598</v>
      </c>
      <c r="S13" s="191">
        <f>+P13*VLOOKUP($A13,UPP!$C16:$AC$20,26,FALSE)+K13*(1-VLOOKUP($A13,UPP!$C16:$AC$20,26,FALSE))</f>
        <v>2.9204707375807111</v>
      </c>
      <c r="T13" s="191">
        <f>+Q13*VLOOKUP($A13,UPP!$C16:$AC$20,27,FALSE)+M13*(1-VLOOKUP($A13,UPP!$C16:$AC$20,27,FALSE))</f>
        <v>0.13613656020727694</v>
      </c>
      <c r="U13" s="191">
        <f t="shared" si="11"/>
        <v>17.5318983692</v>
      </c>
      <c r="V13" s="314">
        <f t="shared" si="12"/>
        <v>1.138655965823905</v>
      </c>
      <c r="W13" s="314">
        <f t="shared" si="13"/>
        <v>17.512270563964584</v>
      </c>
      <c r="X13" s="191">
        <f t="shared" si="14"/>
        <v>17.512270563964584</v>
      </c>
      <c r="Z13" s="191">
        <f t="shared" si="0"/>
        <v>14.455663266176598</v>
      </c>
      <c r="AA13" s="191">
        <f t="shared" si="1"/>
        <v>2.9204707375807111</v>
      </c>
      <c r="AB13" s="191">
        <f t="shared" si="2"/>
        <v>0.13613656020727694</v>
      </c>
      <c r="AC13" s="191"/>
      <c r="AG13" s="479"/>
      <c r="AH13" s="480"/>
      <c r="AI13" s="480"/>
    </row>
    <row r="14" spans="1:35">
      <c r="A14" s="150" t="str">
        <f>+'IBNR+Freq'!B18</f>
        <v>7327F</v>
      </c>
      <c r="B14" s="150">
        <f>+'IBNR+Freq'!C18</f>
        <v>6</v>
      </c>
      <c r="C14" s="191">
        <f>+'IBNR+Freq'!W18</f>
        <v>3.0967492133235592</v>
      </c>
      <c r="D14" s="150">
        <f>+'IBNR+Freq'!J18</f>
        <v>43652</v>
      </c>
      <c r="E14" s="191">
        <f>+'IBNR+Freq'!X18</f>
        <v>8.3249430795839814</v>
      </c>
      <c r="F14" s="150">
        <f t="shared" si="3"/>
        <v>43652</v>
      </c>
      <c r="G14" s="191">
        <f>+'IBNR+Freq'!Y18</f>
        <v>0.1489956405204802</v>
      </c>
      <c r="H14" s="150">
        <f t="shared" si="4"/>
        <v>43652</v>
      </c>
      <c r="I14" s="191">
        <f>++IFERROR(VLOOKUP($A14,UPP!$C$10:$V$20,13,FALSE),0)</f>
        <v>12.409111519016719</v>
      </c>
      <c r="J14" s="192">
        <f t="shared" si="5"/>
        <v>43652</v>
      </c>
      <c r="K14" s="191">
        <f>+IFERROR(VLOOKUP($A14,UPP!$C$10:$V$20,14,FALSE),0)</f>
        <v>3.6007328873385203</v>
      </c>
      <c r="L14" s="192">
        <f t="shared" si="6"/>
        <v>43652</v>
      </c>
      <c r="M14" s="191">
        <f>+IFERROR(VLOOKUP($A14,UPP!$C$10:$V$20,15,FALSE),0)</f>
        <v>0.13936978824476076</v>
      </c>
      <c r="N14" s="192">
        <f t="shared" si="7"/>
        <v>43652</v>
      </c>
      <c r="O14" s="265">
        <f t="shared" si="8"/>
        <v>9.9340618014206452</v>
      </c>
      <c r="P14" s="265">
        <f t="shared" si="9"/>
        <v>5.1706221467296105</v>
      </c>
      <c r="Q14" s="265">
        <f t="shared" si="10"/>
        <v>0.21613307613900856</v>
      </c>
      <c r="R14" s="191">
        <f>+O14*VLOOKUP($A14,UPP!$C17:$AC$20,25,FALSE)+I14*(1-VLOOKUP($A14,UPP!$C17:$AC$20,25,FALSE))</f>
        <v>12.384361021840759</v>
      </c>
      <c r="S14" s="191">
        <f>+P14*VLOOKUP($A14,UPP!$C17:$AC$20,26,FALSE)+K14*(1-VLOOKUP($A14,UPP!$C17:$AC$20,26,FALSE))</f>
        <v>3.6635284577141638</v>
      </c>
      <c r="T14" s="191">
        <f>+Q14*VLOOKUP($A14,UPP!$C17:$AC$20,27,FALSE)+M14*(1-VLOOKUP($A14,UPP!$C17:$AC$20,27,FALSE))</f>
        <v>0.14397558551841561</v>
      </c>
      <c r="U14" s="191">
        <f t="shared" si="11"/>
        <v>16.149214194599999</v>
      </c>
      <c r="V14" s="314">
        <f t="shared" si="12"/>
        <v>15.320817024289266</v>
      </c>
      <c r="W14" s="314">
        <f t="shared" si="13"/>
        <v>16.191865065073337</v>
      </c>
      <c r="X14" s="191">
        <f t="shared" si="14"/>
        <v>16.149214194599999</v>
      </c>
      <c r="Z14" s="191">
        <f t="shared" si="0"/>
        <v>12.351739469245379</v>
      </c>
      <c r="AA14" s="191">
        <f t="shared" si="1"/>
        <v>3.6538783848474869</v>
      </c>
      <c r="AB14" s="191">
        <f t="shared" si="2"/>
        <v>0.1435963405071343</v>
      </c>
      <c r="AC14" s="191"/>
      <c r="AG14" s="479"/>
      <c r="AH14" s="480"/>
      <c r="AI14" s="480"/>
    </row>
    <row r="15" spans="1:35">
      <c r="A15" s="150" t="str">
        <f>+'IBNR+Freq'!B19</f>
        <v>7366F</v>
      </c>
      <c r="B15" s="150">
        <f>+'IBNR+Freq'!C19</f>
        <v>6</v>
      </c>
      <c r="C15" s="191">
        <f>+'IBNR+Freq'!W19</f>
        <v>1.8201985260319702</v>
      </c>
      <c r="D15" s="150">
        <f>+'IBNR+Freq'!J19</f>
        <v>109039</v>
      </c>
      <c r="E15" s="191">
        <f>+'IBNR+Freq'!X19</f>
        <v>2.1042016351030366</v>
      </c>
      <c r="F15" s="150">
        <f t="shared" ref="F15" si="15">++D15</f>
        <v>109039</v>
      </c>
      <c r="G15" s="191">
        <f>+'IBNR+Freq'!Y19</f>
        <v>8.0043508286026105E-2</v>
      </c>
      <c r="H15" s="150">
        <f t="shared" ref="H15" si="16">+F15</f>
        <v>109039</v>
      </c>
      <c r="I15" s="191">
        <f>++IFERROR(VLOOKUP($A15,UPP!$C$10:$V$20,13,FALSE),0)</f>
        <v>6.6258949924837207</v>
      </c>
      <c r="J15" s="192">
        <f t="shared" ref="J15" si="17">+D15</f>
        <v>109039</v>
      </c>
      <c r="K15" s="191">
        <f>+IFERROR(VLOOKUP($A15,UPP!$C$10:$V$20,14,FALSE),0)</f>
        <v>1.4696287541046511</v>
      </c>
      <c r="L15" s="192">
        <f t="shared" ref="L15" si="18">+D15</f>
        <v>109039</v>
      </c>
      <c r="M15" s="191">
        <f>+IFERROR(VLOOKUP($A15,UPP!$C$10:$V$20,15,FALSE),0)</f>
        <v>7.9764237211627911E-2</v>
      </c>
      <c r="N15" s="192">
        <f t="shared" ref="N15" si="19">+D15</f>
        <v>109039</v>
      </c>
      <c r="O15" s="265">
        <f t="shared" si="8"/>
        <v>5.8390148516579572</v>
      </c>
      <c r="P15" s="265">
        <f t="shared" si="9"/>
        <v>1.3069196355624959</v>
      </c>
      <c r="Q15" s="265">
        <f t="shared" si="10"/>
        <v>0.11611111311970945</v>
      </c>
      <c r="R15" s="191">
        <f>+O15*VLOOKUP($A15,UPP!$C18:$AC$20,25,FALSE)+I15*(1-VLOOKUP($A15,UPP!$C18:$AC$20,25,FALSE))</f>
        <v>6.6101573896672052</v>
      </c>
      <c r="S15" s="191">
        <f>+P15*VLOOKUP($A15,UPP!$C18:$AC$20,26,FALSE)+K15*(1-VLOOKUP($A15,UPP!$C18:$AC$20,26,FALSE))</f>
        <v>1.4582391158067001</v>
      </c>
      <c r="T15" s="191">
        <f>+Q15*VLOOKUP($A15,UPP!$C18:$AC$20,27,FALSE)+M15*(1-VLOOKUP($A15,UPP!$C18:$AC$20,27,FALSE))</f>
        <v>8.3762393561516879E-2</v>
      </c>
      <c r="U15" s="191">
        <f t="shared" ref="U15" si="20">+I15+K15+M15</f>
        <v>8.1752879837999988</v>
      </c>
      <c r="V15" s="314">
        <f t="shared" ref="V15" si="21">+O15+P15+Q15</f>
        <v>7.2620456003401621</v>
      </c>
      <c r="W15" s="314">
        <f t="shared" ref="W15" si="22">+R15+S15+T15</f>
        <v>8.1521588990354239</v>
      </c>
      <c r="X15" s="191">
        <f t="shared" si="14"/>
        <v>8.1521588990354239</v>
      </c>
      <c r="Z15" s="191">
        <f t="shared" ref="Z15" si="23">R15/SUM($R15:$T15)*$X15</f>
        <v>6.6101573896672052</v>
      </c>
      <c r="AA15" s="191">
        <f t="shared" ref="AA15" si="24">S15/SUM($R15:$T15)*$X15</f>
        <v>1.4582391158067001</v>
      </c>
      <c r="AB15" s="191">
        <f t="shared" ref="AB15" si="25">T15/SUM($R15:$T15)*$X15</f>
        <v>8.3762393561516879E-2</v>
      </c>
      <c r="AC15" s="191"/>
      <c r="AG15" s="479"/>
      <c r="AH15" s="480"/>
      <c r="AI15" s="480"/>
    </row>
    <row r="16" spans="1:35">
      <c r="A16" s="150" t="str">
        <f>+'IBNR+Freq'!B20</f>
        <v>8709F</v>
      </c>
      <c r="B16" s="150">
        <f>+'IBNR+Freq'!C20</f>
        <v>6</v>
      </c>
      <c r="C16" s="191">
        <f>+'IBNR+Freq'!W20</f>
        <v>5.1014124294650838</v>
      </c>
      <c r="D16" s="150">
        <f>+'IBNR+Freq'!J20</f>
        <v>23499</v>
      </c>
      <c r="E16" s="191">
        <f>+'IBNR+Freq'!X20</f>
        <v>1.5704920724286142</v>
      </c>
      <c r="F16" s="150">
        <f t="shared" si="3"/>
        <v>23499</v>
      </c>
      <c r="G16" s="191">
        <f>+'IBNR+Freq'!Y20</f>
        <v>0.10707655219371037</v>
      </c>
      <c r="H16" s="150">
        <f t="shared" si="4"/>
        <v>23499</v>
      </c>
      <c r="I16" s="191">
        <f>++IFERROR(VLOOKUP($A16,UPP!$C$10:$V$20,13,FALSE),0)</f>
        <v>3.3263551834526317</v>
      </c>
      <c r="J16" s="192">
        <f t="shared" si="5"/>
        <v>23499</v>
      </c>
      <c r="K16" s="191">
        <f>+IFERROR(VLOOKUP($A16,UPP!$C$10:$V$20,14,FALSE),0)</f>
        <v>0.92848326503543377</v>
      </c>
      <c r="L16" s="192">
        <f t="shared" si="6"/>
        <v>23499</v>
      </c>
      <c r="M16" s="191">
        <f>+IFERROR(VLOOKUP($A16,UPP!$C$10:$V$20,15,FALSE),0)</f>
        <v>5.4303493711934769E-2</v>
      </c>
      <c r="N16" s="192">
        <f t="shared" si="7"/>
        <v>23499</v>
      </c>
      <c r="O16" s="265">
        <f>+(C16*$O$3)</f>
        <v>16.364820932481042</v>
      </c>
      <c r="P16" s="265">
        <f t="shared" si="9"/>
        <v>0.97543262618541227</v>
      </c>
      <c r="Q16" s="265">
        <f t="shared" si="10"/>
        <v>0.15532524661219627</v>
      </c>
      <c r="R16" s="191">
        <f>+O16*VLOOKUP($A16,UPP!$C19:$AC$20,25,FALSE)+I16*(1-VLOOKUP($A16,UPP!$C19:$AC$20,25,FALSE))</f>
        <v>3.456739840942916</v>
      </c>
      <c r="S16" s="191">
        <f>+P16*VLOOKUP($A16,UPP!$C19:$AC$20,26,FALSE)+K16*(1-VLOOKUP($A16,UPP!$C19:$AC$20,26,FALSE))</f>
        <v>0.92942225225843333</v>
      </c>
      <c r="T16" s="191">
        <f>+Q16*VLOOKUP($A16,UPP!$C19:$AC$20,27,FALSE)+M16*(1-VLOOKUP($A16,UPP!$C19:$AC$20,27,FALSE))</f>
        <v>5.8344363827945223E-2</v>
      </c>
      <c r="U16" s="191">
        <f t="shared" si="11"/>
        <v>4.3091419422000001</v>
      </c>
      <c r="V16" s="314">
        <f>+O16+P16+Q16</f>
        <v>17.495578805278651</v>
      </c>
      <c r="W16" s="314">
        <f>+R16+S16+T16</f>
        <v>4.4445064570292949</v>
      </c>
      <c r="X16" s="191">
        <f>MEDIAN(U16:W16)</f>
        <v>4.4445064570292949</v>
      </c>
      <c r="Z16" s="191">
        <f>R16/SUM($R16:$T16)*$X16</f>
        <v>3.456739840942916</v>
      </c>
      <c r="AA16" s="191">
        <f t="shared" si="1"/>
        <v>0.92942225225843333</v>
      </c>
      <c r="AB16" s="191">
        <f t="shared" si="2"/>
        <v>5.8344363827945223E-2</v>
      </c>
      <c r="AC16" s="191"/>
      <c r="AG16" s="479"/>
      <c r="AH16" s="480"/>
      <c r="AI16" s="480"/>
    </row>
    <row r="17" spans="1:35">
      <c r="A17" s="150" t="str">
        <f>+'IBNR+Freq'!B21</f>
        <v>8726F</v>
      </c>
      <c r="B17" s="150">
        <f>+'IBNR+Freq'!C21</f>
        <v>6</v>
      </c>
      <c r="C17" s="191">
        <f>+'IBNR+Freq'!W21</f>
        <v>0</v>
      </c>
      <c r="D17" s="150">
        <f>+'IBNR+Freq'!J21</f>
        <v>1129</v>
      </c>
      <c r="E17" s="191">
        <f>+'IBNR+Freq'!X21</f>
        <v>0</v>
      </c>
      <c r="F17" s="150">
        <f t="shared" si="3"/>
        <v>1129</v>
      </c>
      <c r="G17" s="191">
        <f>+'IBNR+Freq'!Y21</f>
        <v>0</v>
      </c>
      <c r="H17" s="150">
        <f t="shared" si="4"/>
        <v>1129</v>
      </c>
      <c r="I17" s="191">
        <f>++IFERROR(VLOOKUP($A17,UPP!$C$10:$V$20,13,FALSE),0)</f>
        <v>1.9204069564067585</v>
      </c>
      <c r="J17" s="192">
        <f t="shared" si="5"/>
        <v>1129</v>
      </c>
      <c r="K17" s="191">
        <f>+IFERROR(VLOOKUP($A17,UPP!$C$10:$V$20,14,FALSE),0)</f>
        <v>0.36135589318314809</v>
      </c>
      <c r="L17" s="192">
        <f t="shared" si="6"/>
        <v>1129</v>
      </c>
      <c r="M17" s="191">
        <f>+IFERROR(VLOOKUP($A17,UPP!$C$10:$V$20,15,FALSE),0)</f>
        <v>2.0473421710093375E-2</v>
      </c>
      <c r="N17" s="192">
        <f t="shared" si="7"/>
        <v>1129</v>
      </c>
      <c r="O17" s="265">
        <f t="shared" si="8"/>
        <v>0</v>
      </c>
      <c r="P17" s="265">
        <f t="shared" si="9"/>
        <v>0</v>
      </c>
      <c r="Q17" s="265">
        <f t="shared" si="10"/>
        <v>0</v>
      </c>
      <c r="R17" s="191">
        <f>+O17*VLOOKUP($A17,UPP!$C20:$AC$20,25,FALSE)+I17*(1-VLOOKUP($A17,UPP!$C20:$AC$20,25,FALSE))</f>
        <v>1.9204069564067585</v>
      </c>
      <c r="S17" s="191">
        <f>+P17*VLOOKUP($A17,UPP!$C20:$AC$20,26,FALSE)+K17*(1-VLOOKUP($A17,UPP!$C20:$AC$20,26,FALSE))</f>
        <v>0.36135589318314809</v>
      </c>
      <c r="T17" s="191">
        <f>+Q17*VLOOKUP($A17,UPP!$C20:$AC$20,27,FALSE)+M17*(1-VLOOKUP($A17,UPP!$C20:$AC$20,27,FALSE))</f>
        <v>2.0268687492992443E-2</v>
      </c>
      <c r="U17" s="191">
        <f t="shared" si="11"/>
        <v>2.3022362713</v>
      </c>
      <c r="V17" s="314">
        <f t="shared" si="12"/>
        <v>0</v>
      </c>
      <c r="W17" s="314">
        <f t="shared" si="13"/>
        <v>2.302031537082899</v>
      </c>
      <c r="X17" s="191">
        <f t="shared" si="14"/>
        <v>2.302031537082899</v>
      </c>
      <c r="Z17" s="191">
        <f t="shared" si="0"/>
        <v>1.9204069564067585</v>
      </c>
      <c r="AA17" s="191">
        <f t="shared" si="1"/>
        <v>0.36135589318314809</v>
      </c>
      <c r="AB17" s="191">
        <f t="shared" si="2"/>
        <v>2.0268687492992443E-2</v>
      </c>
      <c r="AC17" s="191"/>
      <c r="AG17" s="479"/>
      <c r="AH17" s="480"/>
      <c r="AI17" s="480"/>
    </row>
  </sheetData>
  <pageMargins left="0.7" right="0.7" top="0.75" bottom="0.75" header="0.3" footer="0.3"/>
  <legacyDrawing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16E1627-B856-477F-9108-85A34B4529A9}">
  <sheetPr codeName="Sheet20"/>
  <dimension ref="A1:AB18"/>
  <sheetViews>
    <sheetView topLeftCell="D1" zoomScale="140" zoomScaleNormal="140" workbookViewId="0">
      <pane ySplit="7" topLeftCell="A8" activePane="bottomLeft" state="frozen"/>
      <selection activeCell="M34" sqref="M34"/>
      <selection pane="bottomLeft" activeCell="M34" sqref="M34"/>
    </sheetView>
  </sheetViews>
  <sheetFormatPr defaultColWidth="9.296875" defaultRowHeight="12.9"/>
  <cols>
    <col min="1" max="1" width="13.69921875" style="44" customWidth="1"/>
    <col min="2" max="2" width="6.69921875" style="44" bestFit="1" customWidth="1"/>
    <col min="3" max="3" width="3.19921875" style="44" bestFit="1" customWidth="1"/>
    <col min="4" max="9" width="17.19921875" style="44" customWidth="1"/>
    <col min="10" max="10" width="3" style="405" customWidth="1"/>
    <col min="11" max="11" width="11.796875" style="44" customWidth="1"/>
    <col min="12" max="12" width="18.19921875" style="44" bestFit="1" customWidth="1"/>
    <col min="13" max="13" width="9.296875" style="44" customWidth="1"/>
    <col min="14" max="14" width="18.796875" style="44" bestFit="1" customWidth="1"/>
    <col min="15" max="15" width="9.19921875" style="44" bestFit="1" customWidth="1"/>
    <col min="16" max="16" width="19.796875" style="44" customWidth="1"/>
    <col min="17" max="17" width="6.5" style="44" bestFit="1" customWidth="1"/>
    <col min="18" max="23" width="9.296875" style="44"/>
    <col min="24" max="24" width="15.19921875" style="44" bestFit="1" customWidth="1"/>
    <col min="25" max="25" width="16.796875" style="44" bestFit="1" customWidth="1"/>
    <col min="26" max="26" width="18.19921875" style="44" bestFit="1" customWidth="1"/>
    <col min="27" max="16384" width="9.296875" style="44"/>
  </cols>
  <sheetData>
    <row r="1" spans="1:28">
      <c r="A1" s="43" t="s">
        <v>576</v>
      </c>
      <c r="K1" s="89"/>
      <c r="L1" s="89" t="s">
        <v>317</v>
      </c>
    </row>
    <row r="2" spans="1:28">
      <c r="A2" s="43"/>
      <c r="D2" s="89" t="s">
        <v>85</v>
      </c>
      <c r="E2" s="87" t="s">
        <v>156</v>
      </c>
      <c r="K2" s="89">
        <v>6</v>
      </c>
      <c r="L2" s="401">
        <v>1.4255</v>
      </c>
      <c r="N2" s="90" t="s">
        <v>324</v>
      </c>
      <c r="O2" t="s">
        <v>534</v>
      </c>
      <c r="X2"/>
      <c r="Y2"/>
    </row>
    <row r="3" spans="1:28">
      <c r="A3" s="43"/>
      <c r="D3" s="89">
        <v>6</v>
      </c>
      <c r="E3" s="562">
        <f>+'CB Item 1'!G12</f>
        <v>0.96009999999999995</v>
      </c>
      <c r="K3" s="131"/>
      <c r="L3" s="563"/>
      <c r="X3" s="90" t="s">
        <v>82</v>
      </c>
      <c r="Y3" t="s">
        <v>537</v>
      </c>
    </row>
    <row r="4" spans="1:28">
      <c r="A4" s="43"/>
      <c r="D4" s="131"/>
      <c r="E4" s="150"/>
      <c r="K4" s="131"/>
      <c r="L4" s="563"/>
      <c r="N4" t="s">
        <v>325</v>
      </c>
      <c r="O4"/>
      <c r="X4" s="90" t="s">
        <v>481</v>
      </c>
      <c r="Y4" t="s">
        <v>537</v>
      </c>
    </row>
    <row r="5" spans="1:28">
      <c r="D5" s="131"/>
      <c r="E5" s="150"/>
      <c r="N5">
        <v>0</v>
      </c>
      <c r="O5"/>
      <c r="P5" s="43" t="s">
        <v>326</v>
      </c>
    </row>
    <row r="6" spans="1:28">
      <c r="B6" s="49"/>
      <c r="C6" s="49"/>
      <c r="D6" s="49" t="s">
        <v>619</v>
      </c>
      <c r="E6" s="49" t="s">
        <v>79</v>
      </c>
      <c r="F6" s="49" t="s">
        <v>81</v>
      </c>
      <c r="G6" s="49" t="s">
        <v>83</v>
      </c>
      <c r="H6" s="49" t="s">
        <v>81</v>
      </c>
      <c r="I6" s="49"/>
      <c r="J6" s="406"/>
      <c r="K6" s="402" t="s">
        <v>323</v>
      </c>
      <c r="L6" s="403"/>
      <c r="M6" s="404"/>
      <c r="N6" s="402"/>
      <c r="O6" s="402"/>
      <c r="P6" s="402"/>
      <c r="Q6" s="402"/>
      <c r="R6" s="402"/>
      <c r="S6" s="402"/>
      <c r="T6" s="402"/>
      <c r="X6" s="90" t="s">
        <v>161</v>
      </c>
      <c r="Y6" t="s">
        <v>479</v>
      </c>
      <c r="Z6" t="s">
        <v>480</v>
      </c>
    </row>
    <row r="7" spans="1:28">
      <c r="B7" s="49" t="s">
        <v>77</v>
      </c>
      <c r="C7" s="44" t="s">
        <v>85</v>
      </c>
      <c r="D7" s="49" t="s">
        <v>78</v>
      </c>
      <c r="E7" s="49" t="s">
        <v>80</v>
      </c>
      <c r="F7" s="49" t="s">
        <v>82</v>
      </c>
      <c r="G7" s="49" t="s">
        <v>84</v>
      </c>
      <c r="H7" s="49" t="s">
        <v>82</v>
      </c>
      <c r="I7" s="49"/>
      <c r="J7" s="406"/>
      <c r="K7" s="44" t="s">
        <v>318</v>
      </c>
      <c r="L7" s="44" t="s">
        <v>319</v>
      </c>
      <c r="M7" s="44" t="s">
        <v>320</v>
      </c>
      <c r="N7" s="44" t="s">
        <v>321</v>
      </c>
      <c r="O7" s="44" t="s">
        <v>324</v>
      </c>
      <c r="Q7" s="43" t="s">
        <v>515</v>
      </c>
      <c r="X7" s="91">
        <v>6</v>
      </c>
      <c r="Y7">
        <v>15149750.470114311</v>
      </c>
      <c r="Z7">
        <v>15122886.673296001</v>
      </c>
      <c r="AB7" s="44">
        <f>GETPIVOTDATA("Sum of LOSSES2",$X$6,"IG",6)/GETPIVOTDATA("Sum of LOSSES",$X$6,"IG",6)</f>
        <v>0.99822678288521627</v>
      </c>
    </row>
    <row r="8" spans="1:28">
      <c r="B8" s="150" t="str">
        <f>+UPP!C10</f>
        <v>6824F</v>
      </c>
      <c r="C8" s="150">
        <f>+UPP!B10</f>
        <v>6</v>
      </c>
      <c r="D8" s="150">
        <f t="array" ref="D8">SUM(VLOOKUP('Pure Prem Test'!B8,'IBNR+Freq'!B$11:I$21,{7,8},FALSE))</f>
        <v>92</v>
      </c>
      <c r="E8" s="191">
        <f>+VLOOKUP(B8,UPP!$C$10:$R$20,16,FALSE)</f>
        <v>7.3698408918000009</v>
      </c>
      <c r="F8" s="192">
        <f>+D8*E8*10</f>
        <v>6780.253620456001</v>
      </c>
      <c r="G8" s="191">
        <f>+VLOOKUP(B8,'Exp Loss Report_PAYROLL'!$A$7:$X$17,24,FALSE)</f>
        <v>7.3698408918000009</v>
      </c>
      <c r="H8" s="192">
        <f>+D8*G8*10</f>
        <v>6780.253620456001</v>
      </c>
      <c r="I8" s="192"/>
      <c r="J8" s="407"/>
      <c r="K8" s="191">
        <f>+ROUND(G8,3)</f>
        <v>7.37</v>
      </c>
      <c r="L8" s="313">
        <f>+ROUND(K8*L$2,2)</f>
        <v>10.51</v>
      </c>
      <c r="M8" s="313">
        <f t="shared" ref="M8:M18" si="0">+VLOOKUP(B8,R$8:S$18,2,FALSE)</f>
        <v>10.51</v>
      </c>
      <c r="N8" s="313">
        <f>+L8-M8</f>
        <v>0</v>
      </c>
      <c r="O8" s="313"/>
      <c r="P8"/>
      <c r="Q8" s="44" t="s">
        <v>485</v>
      </c>
      <c r="R8" s="44" t="str">
        <f>Q8</f>
        <v>6824F</v>
      </c>
      <c r="S8" s="245">
        <v>10.51</v>
      </c>
      <c r="X8" s="91" t="s">
        <v>158</v>
      </c>
      <c r="Y8">
        <v>15149750.470114311</v>
      </c>
      <c r="Z8">
        <v>15122886.673296001</v>
      </c>
    </row>
    <row r="9" spans="1:28">
      <c r="B9" s="150" t="str">
        <f>+UPP!C11</f>
        <v>6826F</v>
      </c>
      <c r="C9" s="150">
        <f>+UPP!B11</f>
        <v>6</v>
      </c>
      <c r="D9" s="150">
        <f t="array" ref="D9">SUM(VLOOKUP('Pure Prem Test'!B9,'IBNR+Freq'!B$11:I$21,{7,8},FALSE))</f>
        <v>75</v>
      </c>
      <c r="E9" s="191">
        <f>+VLOOKUP(B9,UPP!$C$10:$R$20,16,FALSE)</f>
        <v>6.9671173458000011</v>
      </c>
      <c r="F9" s="192">
        <f t="shared" ref="F9:F18" si="1">+D9*E9*10</f>
        <v>5225.33800935</v>
      </c>
      <c r="G9" s="191">
        <f>+VLOOKUP(B9,'Exp Loss Report_PAYROLL'!$A$7:$X$17,24,FALSE)</f>
        <v>6.9671173458000011</v>
      </c>
      <c r="H9" s="192">
        <f t="shared" ref="H9:H18" si="2">+D9*G9*10</f>
        <v>5225.33800935</v>
      </c>
      <c r="I9" s="192"/>
      <c r="J9" s="407"/>
      <c r="K9" s="191">
        <f t="shared" ref="K9:K18" si="3">+ROUND(G9,3)</f>
        <v>6.9669999999999996</v>
      </c>
      <c r="L9" s="313">
        <f>+ROUND(K9*L$2,2)</f>
        <v>9.93</v>
      </c>
      <c r="M9" s="313">
        <f t="shared" si="0"/>
        <v>9.93</v>
      </c>
      <c r="N9" s="313">
        <f>IFERROR(L9-M9,0)</f>
        <v>0</v>
      </c>
      <c r="O9" s="313"/>
      <c r="P9"/>
      <c r="Q9" s="44" t="s">
        <v>486</v>
      </c>
      <c r="R9" s="44" t="str">
        <f t="shared" ref="R9:R18" si="4">Q9</f>
        <v>6826F</v>
      </c>
      <c r="S9" s="245">
        <v>9.93</v>
      </c>
      <c r="X9"/>
      <c r="Y9"/>
      <c r="Z9"/>
    </row>
    <row r="10" spans="1:28">
      <c r="B10" s="150" t="str">
        <f>+UPP!C12</f>
        <v>6843F</v>
      </c>
      <c r="C10" s="150">
        <f>+UPP!B12</f>
        <v>6</v>
      </c>
      <c r="D10" s="150">
        <f t="array" ref="D10">SUM(VLOOKUP('Pure Prem Test'!B10,'IBNR+Freq'!B$11:I$21,{7,8},FALSE))</f>
        <v>219</v>
      </c>
      <c r="E10" s="191">
        <f>+VLOOKUP(B10,UPP!$C$10:$R$20,16,FALSE)</f>
        <v>9.1552486124000012</v>
      </c>
      <c r="F10" s="192">
        <f t="shared" si="1"/>
        <v>20049.994461156002</v>
      </c>
      <c r="G10" s="191">
        <f>+VLOOKUP(B10,'Exp Loss Report_PAYROLL'!$A$7:$X$17,24,FALSE)</f>
        <v>9.2295066199001958</v>
      </c>
      <c r="H10" s="192">
        <f t="shared" si="2"/>
        <v>20212.619497581429</v>
      </c>
      <c r="I10" s="192"/>
      <c r="J10" s="407"/>
      <c r="K10" s="191">
        <f t="shared" si="3"/>
        <v>9.23</v>
      </c>
      <c r="L10" s="313">
        <f t="shared" ref="L10:L18" si="5">+ROUND(K10*L$2,2)</f>
        <v>13.16</v>
      </c>
      <c r="M10" s="313">
        <f t="shared" si="0"/>
        <v>13.16</v>
      </c>
      <c r="N10" s="313">
        <f t="shared" ref="N10:N18" si="6">+L10-M10</f>
        <v>0</v>
      </c>
      <c r="O10" s="313"/>
      <c r="P10"/>
      <c r="Q10" s="44" t="s">
        <v>487</v>
      </c>
      <c r="R10" s="44" t="str">
        <f t="shared" si="4"/>
        <v>6843F</v>
      </c>
      <c r="S10" s="245">
        <v>13.16</v>
      </c>
      <c r="X10"/>
      <c r="Y10"/>
      <c r="Z10"/>
    </row>
    <row r="11" spans="1:28">
      <c r="B11" s="150" t="str">
        <f>+UPP!C13</f>
        <v>6872F</v>
      </c>
      <c r="C11" s="150">
        <f>+UPP!B13</f>
        <v>6</v>
      </c>
      <c r="D11" s="150">
        <f t="array" ref="D11">SUM(VLOOKUP('Pure Prem Test'!B11,'IBNR+Freq'!B$11:I$21,{7,8},FALSE))</f>
        <v>215</v>
      </c>
      <c r="E11" s="191">
        <f>+VLOOKUP(B11,UPP!$C$10:$R$20,16,FALSE)</f>
        <v>19.317306089800002</v>
      </c>
      <c r="F11" s="192">
        <f t="shared" si="1"/>
        <v>41532.208093070003</v>
      </c>
      <c r="G11" s="191">
        <f>+VLOOKUP(B11,'Exp Loss Report_PAYROLL'!$A$7:$X$17,24,FALSE)</f>
        <v>19.317306089800002</v>
      </c>
      <c r="H11" s="192">
        <f t="shared" si="2"/>
        <v>41532.208093070003</v>
      </c>
      <c r="I11" s="192"/>
      <c r="J11" s="407"/>
      <c r="K11" s="191">
        <f t="shared" si="3"/>
        <v>19.317</v>
      </c>
      <c r="L11" s="313">
        <f t="shared" si="5"/>
        <v>27.54</v>
      </c>
      <c r="M11" s="313">
        <f t="shared" si="0"/>
        <v>27.54</v>
      </c>
      <c r="N11" s="313">
        <f t="shared" si="6"/>
        <v>0</v>
      </c>
      <c r="O11" s="313"/>
      <c r="P11"/>
      <c r="Q11" s="44" t="s">
        <v>488</v>
      </c>
      <c r="R11" s="44" t="str">
        <f t="shared" si="4"/>
        <v>6872F</v>
      </c>
      <c r="S11" s="245">
        <v>27.54</v>
      </c>
      <c r="X11"/>
      <c r="Y11"/>
      <c r="Z11"/>
    </row>
    <row r="12" spans="1:28">
      <c r="B12" s="150" t="str">
        <f>+UPP!C14</f>
        <v>7309F</v>
      </c>
      <c r="C12" s="150">
        <f>+UPP!B14</f>
        <v>6</v>
      </c>
      <c r="D12" s="150">
        <f t="array" ref="D12">SUM(VLOOKUP('Pure Prem Test'!B12,'IBNR+Freq'!B$11:I$21,{7,8},FALSE))</f>
        <v>16712</v>
      </c>
      <c r="E12" s="191">
        <f>+VLOOKUP(B12,UPP!$C$10:$R$20,16,FALSE)</f>
        <v>31.425860706199998</v>
      </c>
      <c r="F12" s="192">
        <f t="shared" si="1"/>
        <v>5251889.8412201442</v>
      </c>
      <c r="G12" s="191">
        <f>+VLOOKUP(B12,'Exp Loss Report_PAYROLL'!$A$7:$X$17,24,FALSE)</f>
        <v>31.348982340420068</v>
      </c>
      <c r="H12" s="192">
        <f t="shared" si="2"/>
        <v>5239041.9287310019</v>
      </c>
      <c r="I12" s="192"/>
      <c r="J12" s="407"/>
      <c r="K12" s="191">
        <f t="shared" si="3"/>
        <v>31.349</v>
      </c>
      <c r="L12" s="313">
        <f t="shared" si="5"/>
        <v>44.69</v>
      </c>
      <c r="M12" s="313">
        <f t="shared" si="0"/>
        <v>44.69</v>
      </c>
      <c r="N12" s="313">
        <f t="shared" si="6"/>
        <v>0</v>
      </c>
      <c r="O12" s="313"/>
      <c r="P12"/>
      <c r="Q12" s="44" t="s">
        <v>489</v>
      </c>
      <c r="R12" s="44" t="str">
        <f t="shared" si="4"/>
        <v>7309F</v>
      </c>
      <c r="S12" s="245">
        <v>44.69</v>
      </c>
      <c r="X12"/>
      <c r="Y12"/>
      <c r="Z12"/>
    </row>
    <row r="13" spans="1:28">
      <c r="B13" s="150" t="str">
        <f>+UPP!C15</f>
        <v>7313F</v>
      </c>
      <c r="C13" s="150">
        <f>+UPP!B15</f>
        <v>6</v>
      </c>
      <c r="D13" s="150">
        <f t="array" ref="D13">SUM(VLOOKUP('Pure Prem Test'!B13,'IBNR+Freq'!B$11:I$21,{7,8},FALSE))</f>
        <v>21125</v>
      </c>
      <c r="E13" s="191">
        <f>+VLOOKUP(B13,UPP!$C$10:$R$20,16,FALSE)</f>
        <v>6.8999967547999983</v>
      </c>
      <c r="F13" s="192">
        <f t="shared" si="1"/>
        <v>1457624.3144514996</v>
      </c>
      <c r="G13" s="191">
        <f>+VLOOKUP(B13,'Exp Loss Report_PAYROLL'!$A$7:$X$17,24,FALSE)</f>
        <v>6.8206801967305637</v>
      </c>
      <c r="H13" s="192">
        <f t="shared" si="2"/>
        <v>1440868.6915593315</v>
      </c>
      <c r="I13" s="192"/>
      <c r="J13" s="407"/>
      <c r="K13" s="191">
        <f t="shared" si="3"/>
        <v>6.8209999999999997</v>
      </c>
      <c r="L13" s="313">
        <f t="shared" si="5"/>
        <v>9.7200000000000006</v>
      </c>
      <c r="M13" s="313">
        <f t="shared" si="0"/>
        <v>9.7200000000000006</v>
      </c>
      <c r="N13" s="313">
        <f t="shared" si="6"/>
        <v>0</v>
      </c>
      <c r="O13" s="313"/>
      <c r="P13"/>
      <c r="Q13" s="44" t="s">
        <v>490</v>
      </c>
      <c r="R13" s="44" t="str">
        <f t="shared" si="4"/>
        <v>7313F</v>
      </c>
      <c r="S13" s="245">
        <v>9.7200000000000006</v>
      </c>
      <c r="X13"/>
      <c r="Y13"/>
      <c r="Z13"/>
    </row>
    <row r="14" spans="1:28">
      <c r="B14" s="150" t="str">
        <f>+UPP!C16</f>
        <v>7317F</v>
      </c>
      <c r="C14" s="150">
        <f>+UPP!B16</f>
        <v>6</v>
      </c>
      <c r="D14" s="150">
        <f t="array" ref="D14">SUM(VLOOKUP('Pure Prem Test'!B14,'IBNR+Freq'!B$11:I$21,{7,8},FALSE))</f>
        <v>3842</v>
      </c>
      <c r="E14" s="191">
        <f>+VLOOKUP(B14,UPP!$C$10:$R$20,16,FALSE)</f>
        <v>17.5318983692</v>
      </c>
      <c r="F14" s="192">
        <f t="shared" si="1"/>
        <v>673575.53534466401</v>
      </c>
      <c r="G14" s="191">
        <f>+VLOOKUP(B14,'Exp Loss Report_PAYROLL'!$A$7:$X$17,24,FALSE)</f>
        <v>17.512270563964584</v>
      </c>
      <c r="H14" s="192">
        <f t="shared" si="2"/>
        <v>672821.43506751931</v>
      </c>
      <c r="I14" s="192"/>
      <c r="J14" s="407"/>
      <c r="K14" s="191">
        <f t="shared" si="3"/>
        <v>17.512</v>
      </c>
      <c r="L14" s="313">
        <f t="shared" si="5"/>
        <v>24.96</v>
      </c>
      <c r="M14" s="313">
        <f t="shared" si="0"/>
        <v>24.96</v>
      </c>
      <c r="N14" s="313">
        <f>+L14-M14</f>
        <v>0</v>
      </c>
      <c r="O14" s="313"/>
      <c r="P14"/>
      <c r="Q14" s="44" t="s">
        <v>491</v>
      </c>
      <c r="R14" s="44" t="str">
        <f t="shared" si="4"/>
        <v>7317F</v>
      </c>
      <c r="S14" s="245">
        <v>24.96</v>
      </c>
      <c r="X14"/>
      <c r="Y14"/>
      <c r="Z14"/>
    </row>
    <row r="15" spans="1:28">
      <c r="B15" s="150" t="str">
        <f>+UPP!C17</f>
        <v>7327F</v>
      </c>
      <c r="C15" s="150">
        <f>+UPP!B17</f>
        <v>6</v>
      </c>
      <c r="D15" s="150">
        <f t="array" ref="D15">SUM(VLOOKUP('Pure Prem Test'!B15,'IBNR+Freq'!B$11:I$21,{7,8},FALSE))</f>
        <v>19508</v>
      </c>
      <c r="E15" s="191">
        <f>+VLOOKUP(B15,UPP!$C$10:$R$20,16,FALSE)</f>
        <v>16.149214194599999</v>
      </c>
      <c r="F15" s="192">
        <f t="shared" si="1"/>
        <v>3150388.7050825679</v>
      </c>
      <c r="G15" s="191">
        <f>+VLOOKUP(B15,'Exp Loss Report_PAYROLL'!$A$7:$X$17,24,FALSE)</f>
        <v>16.149214194599999</v>
      </c>
      <c r="H15" s="192">
        <f t="shared" si="2"/>
        <v>3150388.7050825679</v>
      </c>
      <c r="I15" s="192"/>
      <c r="J15" s="407"/>
      <c r="K15" s="191">
        <f t="shared" si="3"/>
        <v>16.149000000000001</v>
      </c>
      <c r="L15" s="313">
        <f t="shared" si="5"/>
        <v>23.02</v>
      </c>
      <c r="M15" s="313">
        <f t="shared" si="0"/>
        <v>23.02</v>
      </c>
      <c r="N15" s="313">
        <f t="shared" si="6"/>
        <v>0</v>
      </c>
      <c r="O15" s="313"/>
      <c r="P15"/>
      <c r="Q15" s="44" t="s">
        <v>492</v>
      </c>
      <c r="R15" s="44" t="str">
        <f t="shared" si="4"/>
        <v>7327F</v>
      </c>
      <c r="S15" s="245">
        <v>23.02</v>
      </c>
      <c r="X15"/>
      <c r="Y15"/>
      <c r="Z15"/>
    </row>
    <row r="16" spans="1:28">
      <c r="B16" s="150" t="str">
        <f>+UPP!C18</f>
        <v>7366F</v>
      </c>
      <c r="C16" s="150">
        <f>+UPP!B18</f>
        <v>6</v>
      </c>
      <c r="D16" s="150">
        <f t="array" ref="D16">SUM(VLOOKUP('Pure Prem Test'!B16,'IBNR+Freq'!B$11:I$21,{7,8},FALSE))</f>
        <v>49752</v>
      </c>
      <c r="E16" s="191">
        <f>+VLOOKUP(B16,UPP!$C$10:$R$20,16,FALSE)</f>
        <v>8.1752879837999988</v>
      </c>
      <c r="F16" s="192">
        <f t="shared" ref="F16" si="7">+D16*E16*10</f>
        <v>4067369.2777001755</v>
      </c>
      <c r="G16" s="191">
        <f>+VLOOKUP(B16,'Exp Loss Report_PAYROLL'!$A$7:$X$17,24,FALSE)</f>
        <v>8.1521588990354239</v>
      </c>
      <c r="H16" s="192">
        <f t="shared" ref="H16" si="8">+D16*G16*10</f>
        <v>4055862.0954481042</v>
      </c>
      <c r="I16" s="192"/>
      <c r="J16" s="407"/>
      <c r="K16" s="191">
        <f t="shared" ref="K16" si="9">+ROUND(G16,3)</f>
        <v>8.1519999999999992</v>
      </c>
      <c r="L16" s="313">
        <f t="shared" si="5"/>
        <v>11.62</v>
      </c>
      <c r="M16" s="313">
        <f t="shared" si="0"/>
        <v>11.62</v>
      </c>
      <c r="N16" s="313">
        <f t="shared" ref="N16" si="10">+L16-M16</f>
        <v>0</v>
      </c>
      <c r="O16" s="313"/>
      <c r="P16"/>
      <c r="Q16" s="44" t="s">
        <v>493</v>
      </c>
      <c r="R16" s="44" t="str">
        <f t="shared" si="4"/>
        <v>7366F</v>
      </c>
      <c r="S16" s="245">
        <v>11.62</v>
      </c>
      <c r="X16"/>
      <c r="Y16"/>
      <c r="Z16"/>
    </row>
    <row r="17" spans="2:26">
      <c r="B17" s="150" t="str">
        <f>+UPP!C19</f>
        <v>8709F</v>
      </c>
      <c r="C17" s="150">
        <f>+UPP!B19</f>
        <v>6</v>
      </c>
      <c r="D17" s="150">
        <f t="array" ref="D17">SUM(VLOOKUP('Pure Prem Test'!B17,'IBNR+Freq'!B$11:I$21,{7,8},FALSE))</f>
        <v>10962</v>
      </c>
      <c r="E17" s="191">
        <f>+VLOOKUP(B17,UPP!$C$10:$R$20,16,FALSE)</f>
        <v>4.3091419422000001</v>
      </c>
      <c r="F17" s="192">
        <f t="shared" si="1"/>
        <v>472368.13970396406</v>
      </c>
      <c r="G17" s="191">
        <f>+VLOOKUP(B17,'Exp Loss Report_PAYROLL'!$A$7:$X$17,24,FALSE)</f>
        <v>4.4445064570292949</v>
      </c>
      <c r="H17" s="192">
        <f t="shared" si="2"/>
        <v>487206.79781955131</v>
      </c>
      <c r="I17" s="192"/>
      <c r="J17" s="407"/>
      <c r="K17" s="191">
        <f>+ROUND(G17,3)</f>
        <v>4.4450000000000003</v>
      </c>
      <c r="L17" s="313">
        <f t="shared" si="5"/>
        <v>6.34</v>
      </c>
      <c r="M17" s="313">
        <f t="shared" si="0"/>
        <v>6.34</v>
      </c>
      <c r="N17" s="313">
        <f t="shared" si="6"/>
        <v>0</v>
      </c>
      <c r="O17" s="313"/>
      <c r="P17"/>
      <c r="Q17" s="44" t="s">
        <v>494</v>
      </c>
      <c r="R17" s="44" t="str">
        <f t="shared" si="4"/>
        <v>8709F</v>
      </c>
      <c r="S17" s="245">
        <v>6.34</v>
      </c>
      <c r="X17"/>
      <c r="Y17"/>
      <c r="Z17"/>
    </row>
    <row r="18" spans="2:26">
      <c r="B18" s="150" t="str">
        <f>+UPP!C20</f>
        <v>8726F</v>
      </c>
      <c r="C18" s="150">
        <f>+UPP!B20</f>
        <v>6</v>
      </c>
      <c r="D18" s="150">
        <f t="array" ref="D18">SUM(VLOOKUP('Pure Prem Test'!B18,'IBNR+Freq'!B$11:I$21,{7,8},FALSE))</f>
        <v>128</v>
      </c>
      <c r="E18" s="191">
        <f>+VLOOKUP(B18,UPP!$C$10:$R$20,16,FALSE)</f>
        <v>2.3022362713</v>
      </c>
      <c r="F18" s="192">
        <f t="shared" si="1"/>
        <v>2946.862427264</v>
      </c>
      <c r="G18" s="191">
        <f>+VLOOKUP(B18,'Exp Loss Report_PAYROLL'!$A$7:$X$17,24,FALSE)</f>
        <v>2.302031537082899</v>
      </c>
      <c r="H18" s="192">
        <f t="shared" si="2"/>
        <v>2946.6003674661106</v>
      </c>
      <c r="I18" s="192"/>
      <c r="J18" s="407"/>
      <c r="K18" s="191">
        <f t="shared" si="3"/>
        <v>2.302</v>
      </c>
      <c r="L18" s="313">
        <f t="shared" si="5"/>
        <v>3.28</v>
      </c>
      <c r="M18" s="313">
        <f t="shared" si="0"/>
        <v>3.28</v>
      </c>
      <c r="N18" s="313">
        <f t="shared" si="6"/>
        <v>0</v>
      </c>
      <c r="O18" s="313"/>
      <c r="P18"/>
      <c r="Q18" s="44" t="s">
        <v>495</v>
      </c>
      <c r="R18" s="44" t="str">
        <f t="shared" si="4"/>
        <v>8726F</v>
      </c>
      <c r="S18" s="245">
        <v>3.28</v>
      </c>
      <c r="X18"/>
      <c r="Y18"/>
      <c r="Z18"/>
    </row>
  </sheetData>
  <pageMargins left="0.7" right="0.7" top="0.75" bottom="0.75" header="0.3" footer="0.3"/>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A906315-B2C8-4B8E-AC7C-E909B84CA7FC}">
  <sheetPr codeName="Sheet24"/>
  <dimension ref="A1:S59"/>
  <sheetViews>
    <sheetView workbookViewId="0">
      <selection activeCell="M34" sqref="M34"/>
    </sheetView>
  </sheetViews>
  <sheetFormatPr defaultRowHeight="12.9"/>
  <cols>
    <col min="1" max="1" width="4.296875" style="14" customWidth="1"/>
    <col min="2" max="2" width="8" style="14" customWidth="1"/>
    <col min="3" max="4" width="9.296875" style="14"/>
    <col min="5" max="5" width="12.5" style="14" customWidth="1"/>
    <col min="6" max="6" width="4.296875" style="14" customWidth="1"/>
    <col min="7" max="7" width="12.19921875" style="14" customWidth="1"/>
    <col min="8" max="8" width="13.69921875" style="14" customWidth="1"/>
    <col min="9" max="9" width="4.296875" style="14" customWidth="1"/>
    <col min="10" max="10" width="9.296875" style="14"/>
    <col min="11" max="11" width="17.19921875" style="14" customWidth="1"/>
    <col min="12" max="12" width="9.296875" style="14"/>
    <col min="15" max="15" width="10.69921875" bestFit="1" customWidth="1"/>
    <col min="16" max="16" width="15.296875" bestFit="1" customWidth="1"/>
    <col min="17" max="17" width="14.796875" bestFit="1" customWidth="1"/>
    <col min="18" max="18" width="15.5" bestFit="1" customWidth="1"/>
    <col min="19" max="19" width="9.796875" bestFit="1" customWidth="1"/>
  </cols>
  <sheetData>
    <row r="1" spans="1:19">
      <c r="A1" s="13" t="str">
        <f>'CB Item 2'!A1</f>
        <v xml:space="preserve">       FILE: PAF23D08; p.10</v>
      </c>
      <c r="K1" s="568" t="str">
        <f>'CB Item 2'!K1</f>
        <v>PA 2023 F CLASS R/R</v>
      </c>
      <c r="N1" s="12"/>
      <c r="O1" s="1" t="s">
        <v>143</v>
      </c>
    </row>
    <row r="2" spans="1:19">
      <c r="A2" s="13" t="str">
        <f>'CB Item 2'!A2</f>
        <v>SOURCE: PAF23D08, pp. 1-9</v>
      </c>
      <c r="K2" s="718" t="str">
        <f>'CB Item 2'!K2</f>
        <v>11/25/2022</v>
      </c>
      <c r="N2" s="66"/>
      <c r="O2" s="1" t="s">
        <v>142</v>
      </c>
    </row>
    <row r="3" spans="1:19">
      <c r="K3" s="15"/>
      <c r="N3" s="85"/>
      <c r="O3" s="1" t="s">
        <v>146</v>
      </c>
    </row>
    <row r="4" spans="1:19" ht="15.45">
      <c r="A4" s="16" t="s">
        <v>90</v>
      </c>
      <c r="B4" s="17"/>
      <c r="C4" s="17"/>
      <c r="D4" s="17"/>
      <c r="E4" s="17"/>
      <c r="F4" s="17"/>
      <c r="G4" s="17"/>
      <c r="H4" s="17"/>
      <c r="I4" s="17"/>
      <c r="J4" s="17"/>
      <c r="K4" s="15"/>
    </row>
    <row r="5" spans="1:19" ht="15.45">
      <c r="A5" s="16"/>
      <c r="B5" s="17"/>
      <c r="C5" s="17"/>
      <c r="D5" s="17"/>
      <c r="E5" s="17"/>
      <c r="F5" s="17"/>
      <c r="G5" s="18"/>
      <c r="H5" s="17"/>
      <c r="I5" s="17"/>
      <c r="J5" s="17"/>
      <c r="K5" s="17"/>
    </row>
    <row r="8" spans="1:19">
      <c r="E8" s="19" t="s">
        <v>81</v>
      </c>
      <c r="G8" s="19" t="s">
        <v>91</v>
      </c>
      <c r="K8" s="19" t="s">
        <v>92</v>
      </c>
    </row>
    <row r="9" spans="1:19">
      <c r="B9" s="20" t="s">
        <v>93</v>
      </c>
      <c r="C9" s="17"/>
      <c r="E9" s="19" t="s">
        <v>94</v>
      </c>
      <c r="G9" s="19" t="s">
        <v>95</v>
      </c>
      <c r="H9" s="19" t="s">
        <v>96</v>
      </c>
      <c r="J9" s="19" t="s">
        <v>97</v>
      </c>
      <c r="K9" s="21" t="s">
        <v>86</v>
      </c>
    </row>
    <row r="10" spans="1:19">
      <c r="B10" s="20" t="s">
        <v>98</v>
      </c>
      <c r="C10" s="17"/>
      <c r="E10" s="19" t="s">
        <v>99</v>
      </c>
      <c r="G10" s="19" t="s">
        <v>99</v>
      </c>
      <c r="H10" s="19" t="s">
        <v>100</v>
      </c>
      <c r="J10" s="19" t="s">
        <v>100</v>
      </c>
      <c r="K10" s="21" t="s">
        <v>101</v>
      </c>
    </row>
    <row r="11" spans="1:19" ht="15.9">
      <c r="O11" s="257" t="s">
        <v>85</v>
      </c>
      <c r="P11" s="258" t="s">
        <v>42</v>
      </c>
      <c r="Q11" s="258" t="s">
        <v>43</v>
      </c>
      <c r="R11" s="258" t="s">
        <v>44</v>
      </c>
      <c r="S11" s="258" t="s">
        <v>27</v>
      </c>
    </row>
    <row r="12" spans="1:19" ht="15.9">
      <c r="A12" s="22">
        <v>6</v>
      </c>
      <c r="B12" s="23" t="s">
        <v>525</v>
      </c>
      <c r="E12" s="24">
        <f>+'CB Item 2'!E12</f>
        <v>0.69910000000000005</v>
      </c>
      <c r="F12" s="25"/>
      <c r="G12" s="24">
        <f>+'CB Item 2'!G12</f>
        <v>0.96009999999999995</v>
      </c>
      <c r="H12" s="24">
        <f>+'CB Item 2'!H12</f>
        <v>0.71</v>
      </c>
      <c r="I12" s="26"/>
      <c r="J12" s="24">
        <f>+'CB Item 2'!J12</f>
        <v>1.21</v>
      </c>
      <c r="K12" s="303">
        <v>1.4255</v>
      </c>
      <c r="O12" s="564">
        <v>1</v>
      </c>
      <c r="P12" s="565">
        <f t="shared" ref="P12:Q12" si="0">+G12</f>
        <v>0.96009999999999995</v>
      </c>
      <c r="Q12" s="565">
        <f t="shared" si="0"/>
        <v>0.71</v>
      </c>
      <c r="R12" s="565">
        <f t="shared" ref="R12:S12" si="1">+J12</f>
        <v>1.21</v>
      </c>
      <c r="S12" s="565">
        <f t="shared" si="1"/>
        <v>1.4255</v>
      </c>
    </row>
    <row r="13" spans="1:19" ht="15.9">
      <c r="A13" s="535"/>
      <c r="B13" s="536"/>
      <c r="C13" s="193"/>
      <c r="D13" s="193"/>
      <c r="E13" s="537"/>
      <c r="F13" s="538"/>
      <c r="G13" s="537"/>
      <c r="H13" s="537"/>
      <c r="I13" s="540"/>
      <c r="J13" s="537"/>
      <c r="K13" s="566"/>
      <c r="L13" s="193"/>
      <c r="O13" s="259"/>
      <c r="P13" s="567"/>
      <c r="Q13" s="567"/>
      <c r="R13" s="567"/>
      <c r="S13" s="567"/>
    </row>
    <row r="14" spans="1:19" ht="15.9">
      <c r="A14" s="535"/>
      <c r="B14" s="536"/>
      <c r="C14" s="193"/>
      <c r="D14" s="193"/>
      <c r="E14" s="537"/>
      <c r="F14" s="538"/>
      <c r="G14" s="537"/>
      <c r="H14" s="537"/>
      <c r="I14" s="540"/>
      <c r="J14" s="537"/>
      <c r="K14" s="566"/>
      <c r="L14" s="193"/>
      <c r="O14" s="259"/>
      <c r="P14" s="567"/>
      <c r="Q14" s="567"/>
      <c r="R14" s="567"/>
      <c r="S14" s="567"/>
    </row>
    <row r="15" spans="1:19">
      <c r="H15" s="28"/>
      <c r="J15" s="28"/>
    </row>
    <row r="17" spans="1:11">
      <c r="C17" s="19" t="s">
        <v>102</v>
      </c>
      <c r="D17" s="21"/>
      <c r="E17" s="19" t="s">
        <v>103</v>
      </c>
      <c r="F17" s="21"/>
      <c r="G17" s="21"/>
      <c r="H17" s="19" t="s">
        <v>104</v>
      </c>
    </row>
    <row r="18" spans="1:11">
      <c r="C18" s="19" t="s">
        <v>105</v>
      </c>
      <c r="D18" s="21"/>
      <c r="E18" s="19" t="s">
        <v>106</v>
      </c>
      <c r="F18" s="21"/>
      <c r="G18" s="21"/>
      <c r="H18" s="19" t="s">
        <v>106</v>
      </c>
    </row>
    <row r="20" spans="1:11">
      <c r="C20" s="29" t="s">
        <v>107</v>
      </c>
      <c r="D20" s="30"/>
      <c r="E20" s="41">
        <f>+'CB Item 2'!E20</f>
        <v>927367</v>
      </c>
      <c r="F20" s="42"/>
      <c r="G20" s="42"/>
      <c r="H20" s="41">
        <f>+'CB Item 2'!H20</f>
        <v>1854734</v>
      </c>
    </row>
    <row r="21" spans="1:11">
      <c r="C21" s="29" t="s">
        <v>108</v>
      </c>
      <c r="D21" s="30"/>
      <c r="E21" s="41">
        <f>+'CB Item 2'!E21</f>
        <v>985013</v>
      </c>
      <c r="F21" s="42"/>
      <c r="G21" s="42"/>
      <c r="H21" s="41">
        <f>+'CB Item 2'!H21</f>
        <v>1970026</v>
      </c>
    </row>
    <row r="22" spans="1:11">
      <c r="C22" s="29" t="s">
        <v>109</v>
      </c>
      <c r="D22" s="30"/>
      <c r="E22" s="41">
        <f>+'CB Item 2'!E22</f>
        <v>1046242</v>
      </c>
      <c r="F22" s="42"/>
      <c r="G22" s="42"/>
      <c r="H22" s="41">
        <f>+'CB Item 2'!H22</f>
        <v>2092484</v>
      </c>
    </row>
    <row r="23" spans="1:11">
      <c r="B23" s="23"/>
      <c r="C23" s="29" t="s">
        <v>110</v>
      </c>
      <c r="D23" s="30"/>
      <c r="E23" s="41">
        <f>+'CB Item 2'!E23</f>
        <v>1111277</v>
      </c>
      <c r="F23" s="42"/>
      <c r="G23" s="42"/>
      <c r="H23" s="41">
        <f>+'CB Item 2'!H23</f>
        <v>2222554</v>
      </c>
    </row>
    <row r="24" spans="1:11">
      <c r="B24" s="23"/>
      <c r="C24" s="29" t="s">
        <v>111</v>
      </c>
      <c r="D24" s="30"/>
      <c r="E24" s="41">
        <f>+'CB Item 2'!E24</f>
        <v>1180354</v>
      </c>
      <c r="F24" s="42"/>
      <c r="G24" s="42"/>
      <c r="H24" s="41">
        <f>+'CB Item 2'!H24</f>
        <v>2360708</v>
      </c>
    </row>
    <row r="25" spans="1:11">
      <c r="B25" s="23"/>
      <c r="C25" s="29" t="s">
        <v>112</v>
      </c>
      <c r="D25" s="30"/>
      <c r="E25" s="41">
        <f>+'CB Item 2'!E25</f>
        <v>1253726</v>
      </c>
      <c r="F25" s="42"/>
      <c r="G25" s="42"/>
      <c r="H25" s="41">
        <f>+'CB Item 2'!H25</f>
        <v>2507452</v>
      </c>
    </row>
    <row r="26" spans="1:11">
      <c r="B26" s="23"/>
      <c r="C26" s="29" t="s">
        <v>113</v>
      </c>
      <c r="D26" s="30"/>
      <c r="E26" s="41">
        <f>+'CB Item 2'!E26</f>
        <v>1331658</v>
      </c>
      <c r="F26" s="42"/>
      <c r="G26" s="42"/>
      <c r="H26" s="41">
        <f>+'CB Item 2'!H26</f>
        <v>2663316</v>
      </c>
    </row>
    <row r="27" spans="1:11">
      <c r="B27" s="23"/>
      <c r="C27" s="29"/>
      <c r="D27" s="30"/>
      <c r="E27" s="31"/>
      <c r="F27" s="21"/>
      <c r="G27" s="21"/>
      <c r="H27" s="31"/>
    </row>
    <row r="29" spans="1:11">
      <c r="D29" s="22" t="s">
        <v>114</v>
      </c>
    </row>
    <row r="30" spans="1:11">
      <c r="A30" s="20" t="s">
        <v>115</v>
      </c>
      <c r="B30" s="17"/>
      <c r="C30" s="17"/>
      <c r="D30" s="17"/>
      <c r="E30" s="17"/>
      <c r="F30" s="17"/>
      <c r="G30" s="17"/>
      <c r="H30" s="17"/>
      <c r="I30" s="17"/>
      <c r="J30" s="17"/>
      <c r="K30" s="32"/>
    </row>
    <row r="31" spans="1:11">
      <c r="B31" s="19" t="s">
        <v>116</v>
      </c>
      <c r="C31" s="21"/>
      <c r="D31" s="21"/>
      <c r="E31" s="21"/>
      <c r="F31" s="21"/>
      <c r="G31" s="21"/>
      <c r="H31" s="21"/>
      <c r="I31" s="21"/>
      <c r="J31" s="19" t="s">
        <v>117</v>
      </c>
      <c r="K31" s="33" t="s">
        <v>2</v>
      </c>
    </row>
    <row r="32" spans="1:11">
      <c r="B32" s="19" t="s">
        <v>118</v>
      </c>
      <c r="C32" s="21"/>
      <c r="D32" s="19" t="s">
        <v>31</v>
      </c>
      <c r="E32" s="21"/>
      <c r="F32" s="21"/>
      <c r="G32" s="19" t="s">
        <v>119</v>
      </c>
      <c r="H32" s="21"/>
      <c r="I32" s="21"/>
      <c r="J32" s="19" t="s">
        <v>120</v>
      </c>
      <c r="K32" s="33" t="s">
        <v>121</v>
      </c>
    </row>
    <row r="34" spans="1:11">
      <c r="B34" s="14">
        <f>'CB Item 2'!B34</f>
        <v>2015</v>
      </c>
      <c r="C34" s="34"/>
      <c r="D34" s="35">
        <f>+'CB Item 2'!D34</f>
        <v>0</v>
      </c>
      <c r="E34" s="34"/>
      <c r="G34" s="35">
        <f>+'CB Item 2'!G34</f>
        <v>0</v>
      </c>
      <c r="H34" s="34"/>
      <c r="J34" s="35">
        <f>+'CB Item 2'!J34</f>
        <v>0</v>
      </c>
      <c r="K34" s="36">
        <v>1</v>
      </c>
    </row>
    <row r="35" spans="1:11">
      <c r="B35" s="14">
        <f>'CB Item 2'!B35</f>
        <v>2016</v>
      </c>
      <c r="C35" s="34"/>
      <c r="D35" s="35">
        <f>+'CB Item 2'!D35</f>
        <v>0</v>
      </c>
      <c r="E35" s="34"/>
      <c r="G35" s="35">
        <f>+'CB Item 2'!G35</f>
        <v>0</v>
      </c>
      <c r="H35" s="34"/>
      <c r="J35" s="35">
        <f>+'CB Item 2'!J35</f>
        <v>0</v>
      </c>
      <c r="K35" s="36">
        <v>1</v>
      </c>
    </row>
    <row r="36" spans="1:11">
      <c r="B36" s="14">
        <f>'CB Item 2'!B36</f>
        <v>2017</v>
      </c>
      <c r="C36" s="34"/>
      <c r="D36" s="35">
        <f>+'CB Item 2'!D36</f>
        <v>0</v>
      </c>
      <c r="E36" s="34"/>
      <c r="G36" s="35">
        <f>+'CB Item 2'!G36</f>
        <v>0</v>
      </c>
      <c r="H36" s="34"/>
      <c r="J36" s="35">
        <f>+'CB Item 2'!J36</f>
        <v>0</v>
      </c>
      <c r="K36" s="36">
        <v>1</v>
      </c>
    </row>
    <row r="37" spans="1:11">
      <c r="B37" s="14">
        <f>'CB Item 2'!B37</f>
        <v>2018</v>
      </c>
      <c r="C37" s="34"/>
      <c r="D37" s="35">
        <f>+'CB Item 2'!D37</f>
        <v>0</v>
      </c>
      <c r="E37" s="34"/>
      <c r="G37" s="35">
        <f>+'CB Item 2'!G37</f>
        <v>0</v>
      </c>
      <c r="H37" s="34"/>
      <c r="J37" s="35">
        <f>+'CB Item 2'!J37</f>
        <v>0</v>
      </c>
      <c r="K37" s="36">
        <v>1</v>
      </c>
    </row>
    <row r="38" spans="1:11">
      <c r="B38" s="14">
        <f>'CB Item 2'!B38</f>
        <v>2019</v>
      </c>
      <c r="C38" s="34"/>
      <c r="D38" s="35">
        <f>+'CB Item 2'!D38</f>
        <v>0</v>
      </c>
      <c r="E38" s="34"/>
      <c r="G38" s="35">
        <f>+'CB Item 2'!G38</f>
        <v>0</v>
      </c>
      <c r="H38" s="34"/>
      <c r="J38" s="35">
        <f>+'CB Item 2'!J38</f>
        <v>0</v>
      </c>
      <c r="K38" s="36">
        <v>1</v>
      </c>
    </row>
    <row r="40" spans="1:11">
      <c r="A40" s="14" t="s">
        <v>2</v>
      </c>
    </row>
    <row r="41" spans="1:11">
      <c r="A41" s="22" t="s">
        <v>122</v>
      </c>
      <c r="D41" s="37" t="s">
        <v>478</v>
      </c>
      <c r="G41" s="14" t="s">
        <v>123</v>
      </c>
    </row>
    <row r="42" spans="1:11">
      <c r="A42" s="14" t="s">
        <v>124</v>
      </c>
      <c r="D42" s="14">
        <v>5</v>
      </c>
    </row>
    <row r="43" spans="1:11">
      <c r="A43" s="14" t="s">
        <v>125</v>
      </c>
      <c r="F43" s="14" t="s">
        <v>126</v>
      </c>
    </row>
    <row r="44" spans="1:11">
      <c r="A44" s="14" t="s">
        <v>127</v>
      </c>
      <c r="D44" s="14" t="s">
        <v>128</v>
      </c>
    </row>
    <row r="45" spans="1:11">
      <c r="A45" s="14" t="s">
        <v>129</v>
      </c>
      <c r="E45" s="14" t="s">
        <v>130</v>
      </c>
      <c r="F45" s="23"/>
    </row>
    <row r="46" spans="1:11">
      <c r="A46" s="14" t="s">
        <v>131</v>
      </c>
    </row>
    <row r="47" spans="1:11">
      <c r="B47" s="23" t="s">
        <v>132</v>
      </c>
      <c r="D47" s="38">
        <v>1</v>
      </c>
      <c r="E47" s="14" t="s">
        <v>133</v>
      </c>
      <c r="G47" s="39">
        <v>1</v>
      </c>
      <c r="I47" s="14" t="s">
        <v>134</v>
      </c>
      <c r="K47" s="39">
        <v>1</v>
      </c>
    </row>
    <row r="48" spans="1:11">
      <c r="A48" s="14" t="s">
        <v>135</v>
      </c>
      <c r="B48" s="23"/>
    </row>
    <row r="49" spans="1:14">
      <c r="B49" s="23" t="s">
        <v>132</v>
      </c>
      <c r="D49" s="233">
        <f>+'CB Item 2'!D49</f>
        <v>3.5823999999999998</v>
      </c>
      <c r="E49" s="14" t="s">
        <v>133</v>
      </c>
      <c r="G49" s="234">
        <f>+'CB Item 2'!G49</f>
        <v>2.9306000000000001</v>
      </c>
      <c r="I49" s="14" t="s">
        <v>134</v>
      </c>
      <c r="K49" s="234">
        <f>+'CB Item 2'!K49</f>
        <v>13.7582</v>
      </c>
    </row>
    <row r="50" spans="1:14">
      <c r="B50" s="23"/>
      <c r="D50" s="6"/>
      <c r="G50" s="7"/>
      <c r="K50" s="7"/>
    </row>
    <row r="51" spans="1:14">
      <c r="B51" s="23"/>
      <c r="D51" s="6"/>
      <c r="G51" s="7"/>
      <c r="K51" s="7"/>
    </row>
    <row r="52" spans="1:14">
      <c r="A52" s="14" t="s">
        <v>136</v>
      </c>
      <c r="B52" s="23"/>
      <c r="D52" s="6"/>
      <c r="G52" s="235">
        <f>+'CB Item 2'!G52</f>
        <v>0</v>
      </c>
      <c r="K52" s="7"/>
    </row>
    <row r="53" spans="1:14">
      <c r="A53" s="14" t="s">
        <v>137</v>
      </c>
      <c r="B53" s="23"/>
      <c r="D53" s="6"/>
      <c r="E53" s="40" t="str">
        <f>"REGULAR = ("&amp;M54&amp;" * RATE) + EXPENSE CONSTANT"</f>
        <v>REGULAR = (310 * RATE) + EXPENSE CONSTANT</v>
      </c>
      <c r="G53" s="7"/>
      <c r="K53" s="7"/>
      <c r="M53" s="193" t="s">
        <v>265</v>
      </c>
      <c r="N53" s="193"/>
    </row>
    <row r="54" spans="1:14">
      <c r="B54" s="23"/>
      <c r="D54" s="6"/>
      <c r="E54" s="40"/>
      <c r="G54" s="7"/>
      <c r="K54" s="7"/>
      <c r="M54" s="312">
        <v>310</v>
      </c>
      <c r="N54" s="193"/>
    </row>
    <row r="55" spans="1:14">
      <c r="A55" s="40" t="s">
        <v>138</v>
      </c>
      <c r="B55" s="23"/>
      <c r="D55" s="6"/>
      <c r="E55" s="310">
        <f>'D08'!DT55</f>
        <v>375</v>
      </c>
      <c r="G55" s="7"/>
      <c r="K55" s="7"/>
    </row>
    <row r="56" spans="1:14">
      <c r="A56" s="14" t="s">
        <v>139</v>
      </c>
      <c r="D56" s="40" t="s">
        <v>140</v>
      </c>
    </row>
    <row r="57" spans="1:14">
      <c r="A57" s="14" t="s">
        <v>482</v>
      </c>
      <c r="E57" s="310">
        <f>'D08'!DT57</f>
        <v>3000</v>
      </c>
    </row>
    <row r="58" spans="1:14">
      <c r="E58" s="8"/>
    </row>
    <row r="59" spans="1:14">
      <c r="C59" s="23"/>
      <c r="E59" s="22"/>
      <c r="G59" s="37"/>
      <c r="I59" s="23"/>
    </row>
  </sheetData>
  <phoneticPr fontId="0" type="noConversion"/>
  <pageMargins left="0.7" right="0.7" top="0.75" bottom="0.75" header="0.3" footer="0.3"/>
</worksheet>
</file>

<file path=xl/worksheets/sheet2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D149360-FCAA-43A1-A471-1BD69ECC12B6}">
  <sheetPr codeName="Sheet23">
    <pageSetUpPr fitToPage="1"/>
  </sheetPr>
  <dimension ref="A1:AD315"/>
  <sheetViews>
    <sheetView showGridLines="0" tabSelected="1" topLeftCell="B1" zoomScaleNormal="100" workbookViewId="0">
      <selection activeCell="B1" sqref="B1"/>
    </sheetView>
  </sheetViews>
  <sheetFormatPr defaultColWidth="9.296875" defaultRowHeight="10.3"/>
  <cols>
    <col min="1" max="1" width="9.296875" style="324" hidden="1" customWidth="1"/>
    <col min="2" max="2" width="9.296875" style="324" customWidth="1"/>
    <col min="3" max="3" width="8.296875" style="324" customWidth="1"/>
    <col min="4" max="4" width="15.796875" style="324" customWidth="1"/>
    <col min="5" max="9" width="12.796875" style="324" customWidth="1"/>
    <col min="10" max="10" width="13.296875" style="324" customWidth="1"/>
    <col min="11" max="14" width="12.796875" style="324" customWidth="1"/>
    <col min="15" max="15" width="12.796875" style="324" hidden="1" customWidth="1"/>
    <col min="16" max="21" width="9.296875" style="326" hidden="1" customWidth="1"/>
    <col min="22" max="22" width="32.69921875" style="326" hidden="1" customWidth="1"/>
    <col min="23" max="24" width="9.296875" style="326" hidden="1" customWidth="1"/>
    <col min="25" max="33" width="0" style="326" hidden="1" customWidth="1"/>
    <col min="34" max="16384" width="9.296875" style="326"/>
  </cols>
  <sheetData>
    <row r="1" spans="1:20">
      <c r="C1" s="323"/>
      <c r="E1" s="323" t="s">
        <v>0</v>
      </c>
      <c r="F1" s="323"/>
      <c r="I1" s="325"/>
      <c r="L1" s="323" t="s">
        <v>0</v>
      </c>
      <c r="P1" s="326">
        <v>1</v>
      </c>
      <c r="S1" s="326" t="s">
        <v>485</v>
      </c>
      <c r="T1" s="327" t="str">
        <f>S1</f>
        <v>6824F</v>
      </c>
    </row>
    <row r="2" spans="1:20">
      <c r="C2" s="323"/>
      <c r="H2" s="323"/>
      <c r="S2" s="326" t="s">
        <v>486</v>
      </c>
      <c r="T2" s="327" t="str">
        <f>S2</f>
        <v>6826F</v>
      </c>
    </row>
    <row r="3" spans="1:20">
      <c r="C3" s="323"/>
      <c r="H3" s="323"/>
      <c r="S3" s="326" t="s">
        <v>487</v>
      </c>
      <c r="T3" s="327" t="str">
        <f>S3</f>
        <v>6843F</v>
      </c>
    </row>
    <row r="4" spans="1:20">
      <c r="C4" s="323"/>
      <c r="H4" s="323"/>
      <c r="S4" s="326" t="s">
        <v>488</v>
      </c>
      <c r="T4" s="327" t="str">
        <f t="shared" ref="T4:T11" si="0">S4</f>
        <v>6872F</v>
      </c>
    </row>
    <row r="5" spans="1:20">
      <c r="C5" s="324" t="str">
        <f>+VLOOKUP(P6,'Class and Exp Cons'!B$3:F$16,4,FALSE)</f>
        <v>CLASS  BOAT BUILDING OR REPAIR</v>
      </c>
      <c r="D5" s="329"/>
      <c r="E5" s="328"/>
      <c r="G5" s="329"/>
      <c r="L5" s="330" t="s">
        <v>294</v>
      </c>
      <c r="M5" s="331" t="s">
        <v>4</v>
      </c>
      <c r="N5" s="331" t="str">
        <f>+INDEX(S1:S315,P1)</f>
        <v>6824F</v>
      </c>
      <c r="O5" s="332"/>
      <c r="P5" s="731">
        <v>6</v>
      </c>
      <c r="Q5" s="333" t="s">
        <v>85</v>
      </c>
      <c r="S5" s="326" t="s">
        <v>489</v>
      </c>
      <c r="T5" s="327" t="str">
        <f t="shared" si="0"/>
        <v>7309F</v>
      </c>
    </row>
    <row r="6" spans="1:20">
      <c r="C6" s="348" t="s">
        <v>0</v>
      </c>
      <c r="D6" s="346"/>
      <c r="E6" s="346"/>
      <c r="F6" s="346"/>
      <c r="G6" s="346"/>
      <c r="H6" s="346"/>
      <c r="I6" s="346"/>
      <c r="J6" s="346"/>
      <c r="K6" s="346"/>
      <c r="L6" s="346"/>
      <c r="M6" s="346"/>
      <c r="N6" s="346"/>
      <c r="P6" s="732" t="str">
        <f>+INDEX(S1:S319,P1)</f>
        <v>6824F</v>
      </c>
      <c r="Q6" s="333" t="s">
        <v>77</v>
      </c>
      <c r="S6" s="326" t="s">
        <v>490</v>
      </c>
      <c r="T6" s="327" t="str">
        <f t="shared" si="0"/>
        <v>7313F</v>
      </c>
    </row>
    <row r="7" spans="1:20">
      <c r="C7" s="334" t="s">
        <v>303</v>
      </c>
      <c r="D7" s="779" t="str">
        <f>+VLOOKUP(P6,'Class and Exp Cons'!B3:F16,3,FALSE)</f>
        <v>PAYROLL IN THOUS</v>
      </c>
      <c r="E7" s="334" t="s">
        <v>309</v>
      </c>
      <c r="F7" s="334" t="s">
        <v>297</v>
      </c>
      <c r="G7" s="335"/>
      <c r="H7" s="386"/>
      <c r="K7" s="323" t="s">
        <v>299</v>
      </c>
      <c r="N7" s="336"/>
      <c r="S7" s="326" t="s">
        <v>491</v>
      </c>
      <c r="T7" s="327" t="str">
        <f t="shared" si="0"/>
        <v>7317F</v>
      </c>
    </row>
    <row r="8" spans="1:20">
      <c r="C8" s="337" t="s">
        <v>118</v>
      </c>
      <c r="D8" s="780"/>
      <c r="E8" s="337" t="s">
        <v>82</v>
      </c>
      <c r="F8" s="337" t="s">
        <v>298</v>
      </c>
      <c r="G8" s="338"/>
      <c r="H8" s="387"/>
      <c r="I8" s="388" t="s">
        <v>13</v>
      </c>
      <c r="J8" s="388" t="s">
        <v>310</v>
      </c>
      <c r="K8" s="388" t="s">
        <v>14</v>
      </c>
      <c r="L8" s="388" t="s">
        <v>15</v>
      </c>
      <c r="M8" s="388" t="s">
        <v>16</v>
      </c>
      <c r="N8" s="389" t="s">
        <v>198</v>
      </c>
      <c r="S8" s="326" t="s">
        <v>492</v>
      </c>
      <c r="T8" s="327" t="str">
        <f t="shared" si="0"/>
        <v>7327F</v>
      </c>
    </row>
    <row r="9" spans="1:20">
      <c r="A9" s="324" t="str">
        <f>+$P$6&amp;C9</f>
        <v>6824F2015</v>
      </c>
      <c r="C9" s="733">
        <f>'CB Item 1'!B34</f>
        <v>2015</v>
      </c>
      <c r="D9" s="734">
        <f>+IFERROR(VLOOKUP($A9,Data_Payroll!$A$2:$H$110,8,FALSE),0)</f>
        <v>51</v>
      </c>
      <c r="E9" s="735">
        <f>SUM(D20:N20)</f>
        <v>0</v>
      </c>
      <c r="F9" s="736">
        <f t="shared" ref="F9:F14" si="1">IF(D9=0,0,ROUND(E9/(D9*10),3))</f>
        <v>0</v>
      </c>
      <c r="G9" s="339"/>
      <c r="H9" s="737"/>
      <c r="I9" s="738">
        <f>+IFERROR(_xlfn.XLOOKUP($A20,Data_Loss!$A$6:$A$37,Data_Loss!F$6:F$37),0)</f>
        <v>0</v>
      </c>
      <c r="J9" s="738">
        <f>+IFERROR(_xlfn.XLOOKUP($A20,Data_Loss!$A$6:$A$37,Data_Loss!G$6:G$37),0)</f>
        <v>0</v>
      </c>
      <c r="K9" s="738">
        <f>+IFERROR(_xlfn.XLOOKUP($A20,Data_Loss!$A$6:$A$37,Data_Loss!H$6:H$37),0)</f>
        <v>0</v>
      </c>
      <c r="L9" s="738">
        <f>+IFERROR(_xlfn.XLOOKUP($A20,Data_Loss!$A$6:$A$37,Data_Loss!I$6:I$37),0)</f>
        <v>0</v>
      </c>
      <c r="M9" s="738">
        <f>+IFERROR(_xlfn.XLOOKUP($A20,Data_Loss!$A$6:$A$37,Data_Loss!J$6:J$37),0)</f>
        <v>0</v>
      </c>
      <c r="N9" s="739">
        <f>+SUM(I9:M9)</f>
        <v>0</v>
      </c>
      <c r="S9" s="326" t="s">
        <v>493</v>
      </c>
      <c r="T9" s="327" t="str">
        <f t="shared" si="0"/>
        <v>7366F</v>
      </c>
    </row>
    <row r="10" spans="1:20">
      <c r="A10" s="324" t="str">
        <f>+$P$6&amp;C10</f>
        <v>6824F2016</v>
      </c>
      <c r="C10" s="331">
        <f>C9+1</f>
        <v>2016</v>
      </c>
      <c r="D10" s="734">
        <f>+IFERROR(VLOOKUP($A10,Data_Payroll!$A$2:$H$110,8,FALSE),0)</f>
        <v>4</v>
      </c>
      <c r="E10" s="735">
        <f>SUM(D21:N21)</f>
        <v>0</v>
      </c>
      <c r="F10" s="736">
        <f t="shared" si="1"/>
        <v>0</v>
      </c>
      <c r="G10" s="335"/>
      <c r="H10" s="737"/>
      <c r="I10" s="734">
        <f>+IFERROR(_xlfn.XLOOKUP($A21,Data_Loss!$A$6:$A$37,Data_Loss!F$6:F$37),0)</f>
        <v>0</v>
      </c>
      <c r="J10" s="734">
        <f>+IFERROR(_xlfn.XLOOKUP($A21,Data_Loss!$A$6:$A$37,Data_Loss!G$6:G$37),0)</f>
        <v>0</v>
      </c>
      <c r="K10" s="734">
        <f>+IFERROR(_xlfn.XLOOKUP($A21,Data_Loss!$A$6:$A$37,Data_Loss!H$6:H$37),0)</f>
        <v>0</v>
      </c>
      <c r="L10" s="734">
        <f>+IFERROR(_xlfn.XLOOKUP($A21,Data_Loss!$A$6:$A$37,Data_Loss!I$6:I$37),0)</f>
        <v>0</v>
      </c>
      <c r="M10" s="734">
        <f>+IFERROR(_xlfn.XLOOKUP($A21,Data_Loss!$A$6:$A$37,Data_Loss!J$6:J$37),0)</f>
        <v>0</v>
      </c>
      <c r="N10" s="324">
        <f t="shared" ref="N10:N13" si="2">+SUM(I10:M10)</f>
        <v>0</v>
      </c>
      <c r="S10" s="326" t="s">
        <v>494</v>
      </c>
      <c r="T10" s="327" t="str">
        <f t="shared" si="0"/>
        <v>8709F</v>
      </c>
    </row>
    <row r="11" spans="1:20">
      <c r="A11" s="324" t="str">
        <f>+$P$6&amp;C11</f>
        <v>6824F2017</v>
      </c>
      <c r="C11" s="331">
        <f>C10+1</f>
        <v>2017</v>
      </c>
      <c r="D11" s="734">
        <f>+IFERROR(VLOOKUP($A11,Data_Payroll!$A$2:$H$110,8,FALSE),0)</f>
        <v>31</v>
      </c>
      <c r="E11" s="735">
        <f>SUM(D22:N22)</f>
        <v>0</v>
      </c>
      <c r="F11" s="736">
        <f t="shared" si="1"/>
        <v>0</v>
      </c>
      <c r="G11" s="335"/>
      <c r="H11" s="737"/>
      <c r="I11" s="734">
        <f>+IFERROR(_xlfn.XLOOKUP($A22,Data_Loss!$A$6:$A$37,Data_Loss!F$6:F$37),0)</f>
        <v>0</v>
      </c>
      <c r="J11" s="734">
        <f>+IFERROR(_xlfn.XLOOKUP($A22,Data_Loss!$A$6:$A$37,Data_Loss!G$6:G$37),0)</f>
        <v>0</v>
      </c>
      <c r="K11" s="734">
        <f>+IFERROR(_xlfn.XLOOKUP($A22,Data_Loss!$A$6:$A$37,Data_Loss!H$6:H$37),0)</f>
        <v>0</v>
      </c>
      <c r="L11" s="734">
        <f>+IFERROR(_xlfn.XLOOKUP($A22,Data_Loss!$A$6:$A$37,Data_Loss!I$6:I$37),0)</f>
        <v>0</v>
      </c>
      <c r="M11" s="734">
        <f>+IFERROR(_xlfn.XLOOKUP($A22,Data_Loss!$A$6:$A$37,Data_Loss!J$6:J$37),0)</f>
        <v>0</v>
      </c>
      <c r="N11" s="324">
        <f t="shared" si="2"/>
        <v>0</v>
      </c>
      <c r="S11" s="326" t="s">
        <v>495</v>
      </c>
      <c r="T11" s="327" t="str">
        <f t="shared" si="0"/>
        <v>8726F</v>
      </c>
    </row>
    <row r="12" spans="1:20">
      <c r="A12" s="324" t="str">
        <f>+$P$6&amp;C12</f>
        <v>6824F2018</v>
      </c>
      <c r="C12" s="331">
        <f>C11+1</f>
        <v>2018</v>
      </c>
      <c r="D12" s="734">
        <f>+IFERROR(VLOOKUP($A12,Data_Payroll!$A$2:$H$110,8,FALSE),0)</f>
        <v>40</v>
      </c>
      <c r="E12" s="735">
        <f>SUM(D23:N23)</f>
        <v>0</v>
      </c>
      <c r="F12" s="736">
        <f t="shared" si="1"/>
        <v>0</v>
      </c>
      <c r="G12" s="335"/>
      <c r="H12" s="737"/>
      <c r="I12" s="734">
        <f>+IFERROR(_xlfn.XLOOKUP($A23,Data_Loss!$A$6:$A$37,Data_Loss!F$6:F$37),0)</f>
        <v>0</v>
      </c>
      <c r="J12" s="734">
        <f>+IFERROR(_xlfn.XLOOKUP($A23,Data_Loss!$A$6:$A$37,Data_Loss!G$6:G$37),0)</f>
        <v>0</v>
      </c>
      <c r="K12" s="734">
        <f>+IFERROR(_xlfn.XLOOKUP($A23,Data_Loss!$A$6:$A$37,Data_Loss!H$6:H$37),0)</f>
        <v>0</v>
      </c>
      <c r="L12" s="734">
        <f>+IFERROR(_xlfn.XLOOKUP($A23,Data_Loss!$A$6:$A$37,Data_Loss!I$6:I$37),0)</f>
        <v>0</v>
      </c>
      <c r="M12" s="734">
        <f>+IFERROR(_xlfn.XLOOKUP($A23,Data_Loss!$A$6:$A$37,Data_Loss!J$6:J$37),0)</f>
        <v>0</v>
      </c>
      <c r="N12" s="324">
        <f t="shared" si="2"/>
        <v>0</v>
      </c>
      <c r="T12" s="327"/>
    </row>
    <row r="13" spans="1:20">
      <c r="A13" s="324" t="str">
        <f>+$P$6&amp;C13</f>
        <v>6824F2019</v>
      </c>
      <c r="C13" s="331">
        <f>C12+1</f>
        <v>2019</v>
      </c>
      <c r="D13" s="734">
        <f>+IFERROR(VLOOKUP($A13,Data_Payroll!$A$2:$H$110,8,FALSE),0)</f>
        <v>52</v>
      </c>
      <c r="E13" s="735">
        <f>SUM(D24:N24)</f>
        <v>21766</v>
      </c>
      <c r="F13" s="736">
        <f t="shared" si="1"/>
        <v>41.857999999999997</v>
      </c>
      <c r="G13" s="335"/>
      <c r="H13" s="740"/>
      <c r="I13" s="741">
        <f>+IFERROR(_xlfn.XLOOKUP($A24,Data_Loss!$A$6:$A$37,Data_Loss!F$6:F$37),0)</f>
        <v>0</v>
      </c>
      <c r="J13" s="741">
        <f>+IFERROR(_xlfn.XLOOKUP($A24,Data_Loss!$A$6:$A$37,Data_Loss!G$6:G$37),0)</f>
        <v>0</v>
      </c>
      <c r="K13" s="741">
        <f>+IFERROR(_xlfn.XLOOKUP($A24,Data_Loss!$A$6:$A$37,Data_Loss!H$6:H$37),0)</f>
        <v>0</v>
      </c>
      <c r="L13" s="741">
        <f>+IFERROR(_xlfn.XLOOKUP($A24,Data_Loss!$A$6:$A$37,Data_Loss!I$6:I$37),0)</f>
        <v>0</v>
      </c>
      <c r="M13" s="741">
        <f>+IFERROR(_xlfn.XLOOKUP($A24,Data_Loss!$A$6:$A$37,Data_Loss!J$6:J$37),0)</f>
        <v>1</v>
      </c>
      <c r="N13" s="346">
        <f t="shared" si="2"/>
        <v>1</v>
      </c>
      <c r="T13" s="327"/>
    </row>
    <row r="14" spans="1:20">
      <c r="C14" s="375" t="s">
        <v>22</v>
      </c>
      <c r="D14" s="742">
        <f>SUM(D9:D13)</f>
        <v>178</v>
      </c>
      <c r="E14" s="743">
        <f>SUM(E9:E13)</f>
        <v>21766</v>
      </c>
      <c r="F14" s="744">
        <f t="shared" si="1"/>
        <v>12.228</v>
      </c>
      <c r="G14" s="376"/>
      <c r="H14" s="745"/>
      <c r="I14" s="347">
        <f t="shared" ref="I14:N14" si="3">SUM(I9:I13)</f>
        <v>0</v>
      </c>
      <c r="J14" s="347">
        <f t="shared" si="3"/>
        <v>0</v>
      </c>
      <c r="K14" s="347">
        <f t="shared" si="3"/>
        <v>0</v>
      </c>
      <c r="L14" s="347">
        <f t="shared" si="3"/>
        <v>0</v>
      </c>
      <c r="M14" s="347">
        <f t="shared" si="3"/>
        <v>1</v>
      </c>
      <c r="N14" s="346">
        <f t="shared" si="3"/>
        <v>1</v>
      </c>
      <c r="T14" s="327"/>
    </row>
    <row r="15" spans="1:20" s="341" customFormat="1" ht="12" customHeight="1">
      <c r="A15" s="324"/>
      <c r="B15" s="324"/>
      <c r="C15" s="377"/>
      <c r="D15" s="739"/>
      <c r="E15" s="746"/>
      <c r="F15" s="739"/>
      <c r="G15" s="747"/>
      <c r="H15" s="739"/>
      <c r="I15" s="748"/>
      <c r="J15" s="748"/>
      <c r="K15" s="748"/>
      <c r="L15" s="748"/>
      <c r="M15" s="748"/>
      <c r="N15" s="739"/>
      <c r="O15" s="324"/>
      <c r="P15" s="326"/>
      <c r="Q15" s="326"/>
      <c r="R15" s="326"/>
      <c r="S15" s="326"/>
      <c r="T15" s="327"/>
    </row>
    <row r="16" spans="1:20">
      <c r="C16" s="378"/>
      <c r="D16" s="346"/>
      <c r="E16" s="346"/>
      <c r="F16" s="346"/>
      <c r="G16" s="346"/>
      <c r="H16" s="346"/>
      <c r="I16" s="346"/>
      <c r="J16" s="346"/>
      <c r="K16" s="346"/>
      <c r="L16" s="346"/>
      <c r="M16" s="346"/>
      <c r="N16" s="346"/>
      <c r="S16" s="341"/>
      <c r="T16" s="342"/>
    </row>
    <row r="17" spans="1:20">
      <c r="A17" s="340"/>
      <c r="B17" s="340"/>
      <c r="C17" s="379"/>
      <c r="D17" s="380"/>
      <c r="E17" s="380"/>
      <c r="F17" s="380"/>
      <c r="G17" s="380"/>
      <c r="H17" s="390" t="s">
        <v>28</v>
      </c>
      <c r="I17" s="380"/>
      <c r="J17" s="380"/>
      <c r="K17" s="380"/>
      <c r="L17" s="380"/>
      <c r="M17" s="380"/>
      <c r="N17" s="380"/>
      <c r="O17" s="340"/>
      <c r="P17" s="341"/>
      <c r="Q17" s="341"/>
      <c r="R17" s="341"/>
      <c r="T17" s="327"/>
    </row>
    <row r="18" spans="1:20">
      <c r="C18" s="331" t="s">
        <v>303</v>
      </c>
      <c r="D18" s="343"/>
      <c r="F18" s="330" t="s">
        <v>296</v>
      </c>
      <c r="H18" s="383"/>
      <c r="K18" s="330" t="s">
        <v>87</v>
      </c>
      <c r="T18" s="327"/>
    </row>
    <row r="19" spans="1:20">
      <c r="C19" s="337" t="s">
        <v>118</v>
      </c>
      <c r="D19" s="391" t="s">
        <v>13</v>
      </c>
      <c r="E19" s="391" t="s">
        <v>310</v>
      </c>
      <c r="F19" s="355" t="s">
        <v>14</v>
      </c>
      <c r="G19" s="355" t="s">
        <v>15</v>
      </c>
      <c r="H19" s="355" t="s">
        <v>16</v>
      </c>
      <c r="I19" s="355" t="s">
        <v>13</v>
      </c>
      <c r="J19" s="355" t="s">
        <v>310</v>
      </c>
      <c r="K19" s="355" t="s">
        <v>14</v>
      </c>
      <c r="L19" s="355" t="s">
        <v>15</v>
      </c>
      <c r="M19" s="355" t="s">
        <v>16</v>
      </c>
      <c r="N19" s="377" t="s">
        <v>295</v>
      </c>
      <c r="T19" s="327"/>
    </row>
    <row r="20" spans="1:20">
      <c r="A20" s="324" t="str">
        <f>+$P$6&amp;C20</f>
        <v>6824F2015</v>
      </c>
      <c r="C20" s="749">
        <f>C9</f>
        <v>2015</v>
      </c>
      <c r="D20" s="750">
        <f>+IFERROR(_xlfn.XLOOKUP($A20,Data_Loss!$A$6:$A$37,Data_Loss!L$6:L$37),0)</f>
        <v>0</v>
      </c>
      <c r="E20" s="750">
        <f>+IFERROR(_xlfn.XLOOKUP($A20,Data_Loss!$A$6:$A$37,Data_Loss!M$6:M$37),0)</f>
        <v>0</v>
      </c>
      <c r="F20" s="750">
        <f>+IFERROR(_xlfn.XLOOKUP($A20,Data_Loss!$A$6:$A$37,Data_Loss!N$6:N$37),0)</f>
        <v>0</v>
      </c>
      <c r="G20" s="750">
        <f>+IFERROR(_xlfn.XLOOKUP($A20,Data_Loss!$A$6:$A$37,Data_Loss!O$6:O$37),0)</f>
        <v>0</v>
      </c>
      <c r="H20" s="750">
        <f>+IFERROR(_xlfn.XLOOKUP($A20,Data_Loss!$A$6:$A$37,Data_Loss!P$6:P$37),0)</f>
        <v>0</v>
      </c>
      <c r="I20" s="750">
        <f>+IFERROR(_xlfn.XLOOKUP($A20,Data_Loss!$A$6:$A$37,Data_Loss!Q$6:Q$37),0)</f>
        <v>0</v>
      </c>
      <c r="J20" s="750">
        <f>+IFERROR(_xlfn.XLOOKUP($A20,Data_Loss!$A$6:$A$37,Data_Loss!R$6:R$37),0)</f>
        <v>0</v>
      </c>
      <c r="K20" s="750">
        <f>+IFERROR(_xlfn.XLOOKUP($A20,Data_Loss!$A$6:$A$37,Data_Loss!S$6:S$37),0)</f>
        <v>0</v>
      </c>
      <c r="L20" s="750">
        <f>+IFERROR(_xlfn.XLOOKUP($A20,Data_Loss!$A$6:$A$37,Data_Loss!T$6:T$37),0)</f>
        <v>0</v>
      </c>
      <c r="M20" s="373">
        <f>+IFERROR(_xlfn.XLOOKUP($A20,Data_Loss!$A$6:$A$37,Data_Loss!U$6:U$37),0)</f>
        <v>0</v>
      </c>
      <c r="N20" s="751">
        <f>+IFERROR(_xlfn.XLOOKUP($A20,Data_Loss!$A$6:$A$37,Data_Loss!V$6:V$37),0)</f>
        <v>0</v>
      </c>
      <c r="T20" s="327"/>
    </row>
    <row r="21" spans="1:20">
      <c r="A21" s="324" t="str">
        <f>+$P$6&amp;C21</f>
        <v>6824F2016</v>
      </c>
      <c r="C21" s="752">
        <f>C10</f>
        <v>2016</v>
      </c>
      <c r="D21" s="750">
        <f>+IFERROR(_xlfn.XLOOKUP($A21,Data_Loss!$A$6:$A$37,Data_Loss!L$6:L$37),0)</f>
        <v>0</v>
      </c>
      <c r="E21" s="750">
        <f>+IFERROR(_xlfn.XLOOKUP($A21,Data_Loss!$A$6:$A$37,Data_Loss!M$6:M$37),0)</f>
        <v>0</v>
      </c>
      <c r="F21" s="750">
        <f>+IFERROR(_xlfn.XLOOKUP($A21,Data_Loss!$A$6:$A$37,Data_Loss!N$6:N$37),0)</f>
        <v>0</v>
      </c>
      <c r="G21" s="750">
        <f>+IFERROR(_xlfn.XLOOKUP($A21,Data_Loss!$A$6:$A$37,Data_Loss!O$6:O$37),0)</f>
        <v>0</v>
      </c>
      <c r="H21" s="750">
        <f>+IFERROR(_xlfn.XLOOKUP($A21,Data_Loss!$A$6:$A$37,Data_Loss!P$6:P$37),0)</f>
        <v>0</v>
      </c>
      <c r="I21" s="750">
        <f>+IFERROR(_xlfn.XLOOKUP($A21,Data_Loss!$A$6:$A$37,Data_Loss!Q$6:Q$37),0)</f>
        <v>0</v>
      </c>
      <c r="J21" s="750">
        <f>+IFERROR(_xlfn.XLOOKUP($A21,Data_Loss!$A$6:$A$37,Data_Loss!R$6:R$37),0)</f>
        <v>0</v>
      </c>
      <c r="K21" s="750">
        <f>+IFERROR(_xlfn.XLOOKUP($A21,Data_Loss!$A$6:$A$37,Data_Loss!S$6:S$37),0)</f>
        <v>0</v>
      </c>
      <c r="L21" s="750">
        <f>+IFERROR(_xlfn.XLOOKUP($A21,Data_Loss!$A$6:$A$37,Data_Loss!T$6:T$37),0)</f>
        <v>0</v>
      </c>
      <c r="M21" s="373">
        <f>+IFERROR(_xlfn.XLOOKUP($A21,Data_Loss!$A$6:$A$37,Data_Loss!U$6:U$37),0)</f>
        <v>0</v>
      </c>
      <c r="N21" s="753">
        <f>+IFERROR(_xlfn.XLOOKUP($A21,Data_Loss!$A$6:$A$37,Data_Loss!V$6:V$37),0)</f>
        <v>0</v>
      </c>
      <c r="T21" s="327"/>
    </row>
    <row r="22" spans="1:20">
      <c r="A22" s="324" t="str">
        <f>+$P$6&amp;C22</f>
        <v>6824F2017</v>
      </c>
      <c r="C22" s="752">
        <f>C11</f>
        <v>2017</v>
      </c>
      <c r="D22" s="750">
        <f>+IFERROR(_xlfn.XLOOKUP($A22,Data_Loss!$A$6:$A$37,Data_Loss!L$6:L$37),0)</f>
        <v>0</v>
      </c>
      <c r="E22" s="750">
        <f>+IFERROR(_xlfn.XLOOKUP($A22,Data_Loss!$A$6:$A$37,Data_Loss!M$6:M$37),0)</f>
        <v>0</v>
      </c>
      <c r="F22" s="750">
        <f>+IFERROR(_xlfn.XLOOKUP($A22,Data_Loss!$A$6:$A$37,Data_Loss!N$6:N$37),0)</f>
        <v>0</v>
      </c>
      <c r="G22" s="750">
        <f>+IFERROR(_xlfn.XLOOKUP($A22,Data_Loss!$A$6:$A$37,Data_Loss!O$6:O$37),0)</f>
        <v>0</v>
      </c>
      <c r="H22" s="750">
        <f>+IFERROR(_xlfn.XLOOKUP($A22,Data_Loss!$A$6:$A$37,Data_Loss!P$6:P$37),0)</f>
        <v>0</v>
      </c>
      <c r="I22" s="750">
        <f>+IFERROR(_xlfn.XLOOKUP($A22,Data_Loss!$A$6:$A$37,Data_Loss!Q$6:Q$37),0)</f>
        <v>0</v>
      </c>
      <c r="J22" s="750">
        <f>+IFERROR(_xlfn.XLOOKUP($A22,Data_Loss!$A$6:$A$37,Data_Loss!R$6:R$37),0)</f>
        <v>0</v>
      </c>
      <c r="K22" s="750">
        <f>+IFERROR(_xlfn.XLOOKUP($A22,Data_Loss!$A$6:$A$37,Data_Loss!S$6:S$37),0)</f>
        <v>0</v>
      </c>
      <c r="L22" s="750">
        <f>+IFERROR(_xlfn.XLOOKUP($A22,Data_Loss!$A$6:$A$37,Data_Loss!T$6:T$37),0)</f>
        <v>0</v>
      </c>
      <c r="M22" s="373">
        <f>+IFERROR(_xlfn.XLOOKUP($A22,Data_Loss!$A$6:$A$37,Data_Loss!U$6:U$37),0)</f>
        <v>0</v>
      </c>
      <c r="N22" s="753">
        <f>+IFERROR(_xlfn.XLOOKUP($A22,Data_Loss!$A$6:$A$37,Data_Loss!V$6:V$37),0)</f>
        <v>0</v>
      </c>
      <c r="T22" s="327"/>
    </row>
    <row r="23" spans="1:20">
      <c r="A23" s="324" t="str">
        <f>+$P$6&amp;C23</f>
        <v>6824F2018</v>
      </c>
      <c r="C23" s="752">
        <f>C12</f>
        <v>2018</v>
      </c>
      <c r="D23" s="750">
        <f>+IFERROR(_xlfn.XLOOKUP($A23,Data_Loss!$A$6:$A$37,Data_Loss!L$6:L$37),0)</f>
        <v>0</v>
      </c>
      <c r="E23" s="750">
        <f>+IFERROR(_xlfn.XLOOKUP($A23,Data_Loss!$A$6:$A$37,Data_Loss!M$6:M$37),0)</f>
        <v>0</v>
      </c>
      <c r="F23" s="750">
        <f>+IFERROR(_xlfn.XLOOKUP($A23,Data_Loss!$A$6:$A$37,Data_Loss!N$6:N$37),0)</f>
        <v>0</v>
      </c>
      <c r="G23" s="750">
        <f>+IFERROR(_xlfn.XLOOKUP($A23,Data_Loss!$A$6:$A$37,Data_Loss!O$6:O$37),0)</f>
        <v>0</v>
      </c>
      <c r="H23" s="750">
        <f>+IFERROR(_xlfn.XLOOKUP($A23,Data_Loss!$A$6:$A$37,Data_Loss!P$6:P$37),0)</f>
        <v>0</v>
      </c>
      <c r="I23" s="750">
        <f>+IFERROR(_xlfn.XLOOKUP($A23,Data_Loss!$A$6:$A$37,Data_Loss!Q$6:Q$37),0)</f>
        <v>0</v>
      </c>
      <c r="J23" s="750">
        <f>+IFERROR(_xlfn.XLOOKUP($A23,Data_Loss!$A$6:$A$37,Data_Loss!R$6:R$37),0)</f>
        <v>0</v>
      </c>
      <c r="K23" s="750">
        <f>+IFERROR(_xlfn.XLOOKUP($A23,Data_Loss!$A$6:$A$37,Data_Loss!S$6:S$37),0)</f>
        <v>0</v>
      </c>
      <c r="L23" s="750">
        <f>+IFERROR(_xlfn.XLOOKUP($A23,Data_Loss!$A$6:$A$37,Data_Loss!T$6:T$37),0)</f>
        <v>0</v>
      </c>
      <c r="M23" s="373">
        <f>+IFERROR(_xlfn.XLOOKUP($A23,Data_Loss!$A$6:$A$37,Data_Loss!U$6:U$37),0)</f>
        <v>0</v>
      </c>
      <c r="N23" s="753">
        <f>+IFERROR(_xlfn.XLOOKUP($A23,Data_Loss!$A$6:$A$37,Data_Loss!V$6:V$37),0)</f>
        <v>0</v>
      </c>
      <c r="T23" s="327"/>
    </row>
    <row r="24" spans="1:20">
      <c r="A24" s="324" t="str">
        <f>+$P$6&amp;C24</f>
        <v>6824F2019</v>
      </c>
      <c r="C24" s="752">
        <f>C13</f>
        <v>2019</v>
      </c>
      <c r="D24" s="750">
        <f>+IFERROR(_xlfn.XLOOKUP($A24,Data_Loss!$A$6:$A$37,Data_Loss!L$6:L$37),0)</f>
        <v>0</v>
      </c>
      <c r="E24" s="750">
        <f>+IFERROR(_xlfn.XLOOKUP($A24,Data_Loss!$A$6:$A$37,Data_Loss!M$6:M$37),0)</f>
        <v>0</v>
      </c>
      <c r="F24" s="750">
        <f>+IFERROR(_xlfn.XLOOKUP($A24,Data_Loss!$A$6:$A$37,Data_Loss!N$6:N$37),0)</f>
        <v>0</v>
      </c>
      <c r="G24" s="750">
        <f>+IFERROR(_xlfn.XLOOKUP($A24,Data_Loss!$A$6:$A$37,Data_Loss!O$6:O$37),0)</f>
        <v>0</v>
      </c>
      <c r="H24" s="750">
        <f>+IFERROR(_xlfn.XLOOKUP($A24,Data_Loss!$A$6:$A$37,Data_Loss!P$6:P$37),0)</f>
        <v>1349</v>
      </c>
      <c r="I24" s="750">
        <f>+IFERROR(_xlfn.XLOOKUP($A24,Data_Loss!$A$6:$A$37,Data_Loss!Q$6:Q$37),0)</f>
        <v>0</v>
      </c>
      <c r="J24" s="750">
        <f>+IFERROR(_xlfn.XLOOKUP($A24,Data_Loss!$A$6:$A$37,Data_Loss!R$6:R$37),0)</f>
        <v>0</v>
      </c>
      <c r="K24" s="750">
        <f>+IFERROR(_xlfn.XLOOKUP($A24,Data_Loss!$A$6:$A$37,Data_Loss!S$6:S$37),0)</f>
        <v>0</v>
      </c>
      <c r="L24" s="750">
        <f>+IFERROR(_xlfn.XLOOKUP($A24,Data_Loss!$A$6:$A$37,Data_Loss!T$6:T$37),0)</f>
        <v>0</v>
      </c>
      <c r="M24" s="373">
        <f>+IFERROR(_xlfn.XLOOKUP($A24,Data_Loss!$A$6:$A$37,Data_Loss!U$6:U$37),0)</f>
        <v>20417</v>
      </c>
      <c r="N24" s="754">
        <f>+IFERROR(_xlfn.XLOOKUP($A24,Data_Loss!$A$6:$A$37,Data_Loss!V$6:V$37),0)</f>
        <v>0</v>
      </c>
      <c r="T24" s="327"/>
    </row>
    <row r="25" spans="1:20">
      <c r="C25" s="344" t="s">
        <v>22</v>
      </c>
      <c r="D25" s="755">
        <f t="shared" ref="D25:N25" si="4">SUM(D20:D24)</f>
        <v>0</v>
      </c>
      <c r="E25" s="755">
        <f t="shared" si="4"/>
        <v>0</v>
      </c>
      <c r="F25" s="755">
        <f t="shared" si="4"/>
        <v>0</v>
      </c>
      <c r="G25" s="755">
        <f t="shared" si="4"/>
        <v>0</v>
      </c>
      <c r="H25" s="755">
        <f t="shared" si="4"/>
        <v>1349</v>
      </c>
      <c r="I25" s="755">
        <f t="shared" si="4"/>
        <v>0</v>
      </c>
      <c r="J25" s="755">
        <f t="shared" si="4"/>
        <v>0</v>
      </c>
      <c r="K25" s="755">
        <f t="shared" si="4"/>
        <v>0</v>
      </c>
      <c r="L25" s="755">
        <f t="shared" si="4"/>
        <v>0</v>
      </c>
      <c r="M25" s="755">
        <f t="shared" si="4"/>
        <v>20417</v>
      </c>
      <c r="N25" s="756">
        <f t="shared" si="4"/>
        <v>0</v>
      </c>
      <c r="T25" s="327"/>
    </row>
    <row r="26" spans="1:20" s="341" customFormat="1" ht="12" customHeight="1">
      <c r="A26" s="324"/>
      <c r="B26" s="324"/>
      <c r="C26" s="377"/>
      <c r="D26" s="746"/>
      <c r="E26" s="746"/>
      <c r="F26" s="746"/>
      <c r="G26" s="746"/>
      <c r="H26" s="746"/>
      <c r="I26" s="746"/>
      <c r="J26" s="746"/>
      <c r="K26" s="746"/>
      <c r="L26" s="746"/>
      <c r="M26" s="746"/>
      <c r="N26" s="746"/>
      <c r="O26" s="324"/>
      <c r="P26" s="326"/>
      <c r="Q26" s="326"/>
      <c r="R26" s="326"/>
      <c r="S26" s="326"/>
      <c r="T26" s="327"/>
    </row>
    <row r="27" spans="1:20">
      <c r="C27" s="378"/>
      <c r="D27" s="346"/>
      <c r="E27" s="346"/>
      <c r="F27" s="346"/>
      <c r="G27" s="346"/>
      <c r="H27" s="346"/>
      <c r="I27" s="346"/>
      <c r="J27" s="346"/>
      <c r="K27" s="346"/>
      <c r="L27" s="346"/>
      <c r="M27" s="346"/>
      <c r="N27" s="346"/>
      <c r="S27" s="341"/>
      <c r="T27" s="342"/>
    </row>
    <row r="28" spans="1:20">
      <c r="A28" s="340"/>
      <c r="B28" s="340"/>
      <c r="C28" s="381"/>
      <c r="D28" s="382"/>
      <c r="E28" s="382"/>
      <c r="F28" s="382"/>
      <c r="G28" s="382"/>
      <c r="H28" s="392" t="s">
        <v>30</v>
      </c>
      <c r="I28" s="382"/>
      <c r="J28" s="382"/>
      <c r="K28" s="382"/>
      <c r="L28" s="382"/>
      <c r="M28" s="382"/>
      <c r="N28" s="382"/>
      <c r="O28" s="340"/>
      <c r="P28" s="341"/>
      <c r="Q28" s="341"/>
      <c r="R28" s="341"/>
      <c r="T28" s="327"/>
    </row>
    <row r="29" spans="1:20">
      <c r="C29" s="331" t="s">
        <v>303</v>
      </c>
      <c r="D29" s="343"/>
      <c r="F29" s="330" t="s">
        <v>296</v>
      </c>
      <c r="H29" s="383"/>
      <c r="K29" s="330" t="s">
        <v>87</v>
      </c>
      <c r="T29" s="327"/>
    </row>
    <row r="30" spans="1:20">
      <c r="C30" s="331" t="s">
        <v>118</v>
      </c>
      <c r="D30" s="393" t="s">
        <v>13</v>
      </c>
      <c r="E30" s="355" t="s">
        <v>310</v>
      </c>
      <c r="F30" s="394" t="s">
        <v>14</v>
      </c>
      <c r="G30" s="394" t="s">
        <v>15</v>
      </c>
      <c r="H30" s="394" t="s">
        <v>16</v>
      </c>
      <c r="I30" s="394" t="s">
        <v>13</v>
      </c>
      <c r="J30" s="355" t="s">
        <v>310</v>
      </c>
      <c r="K30" s="394" t="s">
        <v>14</v>
      </c>
      <c r="L30" s="394" t="s">
        <v>15</v>
      </c>
      <c r="M30" s="394" t="s">
        <v>16</v>
      </c>
      <c r="N30" s="395" t="s">
        <v>295</v>
      </c>
      <c r="T30" s="327"/>
    </row>
    <row r="31" spans="1:20">
      <c r="A31" s="324" t="str">
        <f>+$P$6&amp;C31</f>
        <v>6824F2015</v>
      </c>
      <c r="C31" s="388">
        <f>C9</f>
        <v>2015</v>
      </c>
      <c r="D31" s="757">
        <f>+IFERROR(VLOOKUP($A31,'Translated Loss'!$AF$5:$BG$1579,15,FALSE),0)</f>
        <v>0</v>
      </c>
      <c r="E31" s="757">
        <f>+IFERROR(VLOOKUP($A31,'Translated Loss'!$AF$5:$BG$1579,16,FALSE),0)</f>
        <v>0</v>
      </c>
      <c r="F31" s="735">
        <f>+IFERROR(VLOOKUP($A31,'Translated Loss'!$AF$5:$BG$1579,17,FALSE),0)</f>
        <v>0</v>
      </c>
      <c r="G31" s="735">
        <f>+IFERROR(VLOOKUP($A31,'Translated Loss'!$AF$5:$BG$1579,18,FALSE),0)</f>
        <v>0</v>
      </c>
      <c r="H31" s="735">
        <f>+IFERROR(VLOOKUP($A31,'Translated Loss'!$AF$5:$BG$1579,19,FALSE),0)</f>
        <v>0</v>
      </c>
      <c r="I31" s="735">
        <f>+IFERROR(VLOOKUP($A31,'Translated Loss'!$AF$5:$BG$1579,20,FALSE),0)</f>
        <v>0</v>
      </c>
      <c r="J31" s="735">
        <f>+IFERROR(VLOOKUP($A31,'Translated Loss'!$AF$5:$BG$1579,21,FALSE),0)</f>
        <v>0</v>
      </c>
      <c r="K31" s="735">
        <f>+IFERROR(VLOOKUP($A31,'Translated Loss'!$AF$5:$BG$1579,22,FALSE),0)</f>
        <v>0</v>
      </c>
      <c r="L31" s="735">
        <f>+IFERROR(VLOOKUP($A31,'Translated Loss'!$AF$5:$BG$1579,23,FALSE),0)</f>
        <v>0</v>
      </c>
      <c r="M31" s="735">
        <f>+IFERROR(VLOOKUP($A31,'Translated Loss'!$AF$5:$BG$1579,24,FALSE),0)</f>
        <v>0</v>
      </c>
      <c r="N31" s="758">
        <f>+IFERROR(VLOOKUP($A31,'Translated Loss'!$AF$5:$BG$1579,25,FALSE),0)</f>
        <v>0</v>
      </c>
      <c r="T31" s="327"/>
    </row>
    <row r="32" spans="1:20">
      <c r="A32" s="324" t="str">
        <f>+$P$6&amp;C32</f>
        <v>6824F2016</v>
      </c>
      <c r="C32" s="334">
        <f>C10</f>
        <v>2016</v>
      </c>
      <c r="D32" s="757">
        <f>+IFERROR(VLOOKUP($A32,'Translated Loss'!$AF$5:$BG$1579,15,FALSE),0)</f>
        <v>0</v>
      </c>
      <c r="E32" s="757">
        <f>+IFERROR(VLOOKUP($A32,'Translated Loss'!$AF$5:$BG$1579,16,FALSE),0)</f>
        <v>0</v>
      </c>
      <c r="F32" s="735">
        <f>+IFERROR(VLOOKUP($A32,'Translated Loss'!$AF$5:$BG$1579,17,FALSE),0)</f>
        <v>0</v>
      </c>
      <c r="G32" s="735">
        <f>+IFERROR(VLOOKUP($A32,'Translated Loss'!$AF$5:$BG$1579,18,FALSE),0)</f>
        <v>0</v>
      </c>
      <c r="H32" s="735">
        <f>+IFERROR(VLOOKUP($A32,'Translated Loss'!$AF$5:$BG$1579,19,FALSE),0)</f>
        <v>0</v>
      </c>
      <c r="I32" s="735">
        <f>+IFERROR(VLOOKUP($A32,'Translated Loss'!$AF$5:$BG$1579,20,FALSE),0)</f>
        <v>0</v>
      </c>
      <c r="J32" s="735">
        <f>+IFERROR(VLOOKUP($A32,'Translated Loss'!$AF$5:$BG$1579,21,FALSE),0)</f>
        <v>0</v>
      </c>
      <c r="K32" s="735">
        <f>+IFERROR(VLOOKUP($A32,'Translated Loss'!$AF$5:$BG$1579,22,FALSE),0)</f>
        <v>0</v>
      </c>
      <c r="L32" s="735">
        <f>+IFERROR(VLOOKUP($A32,'Translated Loss'!$AF$5:$BG$1579,23,FALSE),0)</f>
        <v>0</v>
      </c>
      <c r="M32" s="735">
        <f>+IFERROR(VLOOKUP($A32,'Translated Loss'!$AF$5:$BG$1579,24,FALSE),0)</f>
        <v>0</v>
      </c>
      <c r="N32" s="758">
        <f>+IFERROR(VLOOKUP($A32,'Translated Loss'!$AF$5:$BG$1579,25,FALSE),0)</f>
        <v>0</v>
      </c>
      <c r="T32" s="327"/>
    </row>
    <row r="33" spans="1:22">
      <c r="A33" s="324" t="str">
        <f>+$P$6&amp;C33</f>
        <v>6824F2017</v>
      </c>
      <c r="C33" s="334">
        <f>C11</f>
        <v>2017</v>
      </c>
      <c r="D33" s="757">
        <f>+IFERROR(VLOOKUP($A33,'Translated Loss'!$AF$5:$BG$1579,15,FALSE),0)</f>
        <v>0</v>
      </c>
      <c r="E33" s="757">
        <f>+IFERROR(VLOOKUP($A33,'Translated Loss'!$AF$5:$BG$1579,16,FALSE),0)</f>
        <v>0</v>
      </c>
      <c r="F33" s="735">
        <f>+IFERROR(VLOOKUP($A33,'Translated Loss'!$AF$5:$BG$1579,17,FALSE),0)</f>
        <v>0</v>
      </c>
      <c r="G33" s="735">
        <f>+IFERROR(VLOOKUP($A33,'Translated Loss'!$AF$5:$BG$1579,18,FALSE),0)</f>
        <v>0</v>
      </c>
      <c r="H33" s="735">
        <f>+IFERROR(VLOOKUP($A33,'Translated Loss'!$AF$5:$BG$1579,19,FALSE),0)</f>
        <v>0</v>
      </c>
      <c r="I33" s="735">
        <f>+IFERROR(VLOOKUP($A33,'Translated Loss'!$AF$5:$BG$1579,20,FALSE),0)</f>
        <v>0</v>
      </c>
      <c r="J33" s="735">
        <f>+IFERROR(VLOOKUP($A33,'Translated Loss'!$AF$5:$BG$1579,21,FALSE),0)</f>
        <v>0</v>
      </c>
      <c r="K33" s="735">
        <f>+IFERROR(VLOOKUP($A33,'Translated Loss'!$AF$5:$BG$1579,22,FALSE),0)</f>
        <v>0</v>
      </c>
      <c r="L33" s="735">
        <f>+IFERROR(VLOOKUP($A33,'Translated Loss'!$AF$5:$BG$1579,23,FALSE),0)</f>
        <v>0</v>
      </c>
      <c r="M33" s="735">
        <f>+IFERROR(VLOOKUP($A33,'Translated Loss'!$AF$5:$BG$1579,24,FALSE),0)</f>
        <v>0</v>
      </c>
      <c r="N33" s="758">
        <f>+IFERROR(VLOOKUP($A33,'Translated Loss'!$AF$5:$BG$1579,25,FALSE),0)</f>
        <v>0</v>
      </c>
      <c r="T33" s="327"/>
    </row>
    <row r="34" spans="1:22">
      <c r="A34" s="324" t="str">
        <f>+$P$6&amp;C34</f>
        <v>6824F2018</v>
      </c>
      <c r="C34" s="334">
        <f>C12</f>
        <v>2018</v>
      </c>
      <c r="D34" s="757">
        <f>+IFERROR(VLOOKUP($A34,'Translated Loss'!$AF$5:$BG$1579,15,FALSE),0)</f>
        <v>0</v>
      </c>
      <c r="E34" s="757">
        <f>+IFERROR(VLOOKUP($A34,'Translated Loss'!$AF$5:$BG$1579,16,FALSE),0)</f>
        <v>0</v>
      </c>
      <c r="F34" s="735">
        <f>+IFERROR(VLOOKUP($A34,'Translated Loss'!$AF$5:$BG$1579,17,FALSE),0)</f>
        <v>0</v>
      </c>
      <c r="G34" s="735">
        <f>+IFERROR(VLOOKUP($A34,'Translated Loss'!$AF$5:$BG$1579,18,FALSE),0)</f>
        <v>0</v>
      </c>
      <c r="H34" s="735">
        <f>+IFERROR(VLOOKUP($A34,'Translated Loss'!$AF$5:$BG$1579,19,FALSE),0)</f>
        <v>0</v>
      </c>
      <c r="I34" s="735">
        <f>+IFERROR(VLOOKUP($A34,'Translated Loss'!$AF$5:$BG$1579,20,FALSE),0)</f>
        <v>0</v>
      </c>
      <c r="J34" s="735">
        <f>+IFERROR(VLOOKUP($A34,'Translated Loss'!$AF$5:$BG$1579,21,FALSE),0)</f>
        <v>0</v>
      </c>
      <c r="K34" s="735">
        <f>+IFERROR(VLOOKUP($A34,'Translated Loss'!$AF$5:$BG$1579,22,FALSE),0)</f>
        <v>0</v>
      </c>
      <c r="L34" s="735">
        <f>+IFERROR(VLOOKUP($A34,'Translated Loss'!$AF$5:$BG$1579,23,FALSE),0)</f>
        <v>0</v>
      </c>
      <c r="M34" s="735">
        <f>+IFERROR(VLOOKUP($A34,'Translated Loss'!$AF$5:$BG$1579,24,FALSE),0)</f>
        <v>0</v>
      </c>
      <c r="N34" s="758">
        <f>+IFERROR(VLOOKUP($A34,'Translated Loss'!$AF$5:$BG$1579,25,FALSE),0)</f>
        <v>0</v>
      </c>
      <c r="T34" s="327"/>
    </row>
    <row r="35" spans="1:22">
      <c r="A35" s="324" t="str">
        <f>+$P$6&amp;C35</f>
        <v>6824F2019</v>
      </c>
      <c r="C35" s="334">
        <f>C13</f>
        <v>2019</v>
      </c>
      <c r="D35" s="757">
        <f>+IFERROR(VLOOKUP($A35,'Translated Loss'!$AF$5:$BG$1579,15,FALSE),0)</f>
        <v>0</v>
      </c>
      <c r="E35" s="757">
        <f>+IFERROR(VLOOKUP($A35,'Translated Loss'!$AF$5:$BG$1579,16,FALSE),0)</f>
        <v>0</v>
      </c>
      <c r="F35" s="735">
        <f>+IFERROR(VLOOKUP($A35,'Translated Loss'!$AF$5:$BG$1579,17,FALSE),0)</f>
        <v>0</v>
      </c>
      <c r="G35" s="735">
        <f>+IFERROR(VLOOKUP($A35,'Translated Loss'!$AF$5:$BG$1579,18,FALSE),0)</f>
        <v>0</v>
      </c>
      <c r="H35" s="735">
        <f>+IFERROR(VLOOKUP($A35,'Translated Loss'!$AF$5:$BG$1579,19,FALSE),0)</f>
        <v>4066.1558000000005</v>
      </c>
      <c r="I35" s="735">
        <f>+IFERROR(VLOOKUP($A35,'Translated Loss'!$AF$5:$BG$1579,20,FALSE),0)</f>
        <v>0</v>
      </c>
      <c r="J35" s="735">
        <f>+IFERROR(VLOOKUP($A35,'Translated Loss'!$AF$5:$BG$1579,21,FALSE),0)</f>
        <v>0</v>
      </c>
      <c r="K35" s="735">
        <f>+IFERROR(VLOOKUP($A35,'Translated Loss'!$AF$5:$BG$1579,22,FALSE),0)</f>
        <v>0</v>
      </c>
      <c r="L35" s="735">
        <f>+IFERROR(VLOOKUP($A35,'Translated Loss'!$AF$5:$BG$1579,23,FALSE),0)</f>
        <v>0</v>
      </c>
      <c r="M35" s="735">
        <f>+IFERROR(VLOOKUP($A35,'Translated Loss'!$AF$5:$BG$1579,24,FALSE),0)</f>
        <v>56122.249600000003</v>
      </c>
      <c r="N35" s="758">
        <f>+IFERROR(VLOOKUP($A35,'Translated Loss'!$AF$5:$BG$1579,25,FALSE),0)</f>
        <v>0</v>
      </c>
      <c r="T35" s="327"/>
    </row>
    <row r="36" spans="1:22">
      <c r="C36" s="345" t="s">
        <v>22</v>
      </c>
      <c r="D36" s="742">
        <f t="shared" ref="D36:N36" si="5">SUM(D31:D35)</f>
        <v>0</v>
      </c>
      <c r="E36" s="742">
        <f t="shared" si="5"/>
        <v>0</v>
      </c>
      <c r="F36" s="743">
        <f t="shared" si="5"/>
        <v>0</v>
      </c>
      <c r="G36" s="743">
        <f t="shared" si="5"/>
        <v>0</v>
      </c>
      <c r="H36" s="743">
        <f t="shared" si="5"/>
        <v>4066.1558000000005</v>
      </c>
      <c r="I36" s="743">
        <f t="shared" si="5"/>
        <v>0</v>
      </c>
      <c r="J36" s="743">
        <f t="shared" si="5"/>
        <v>0</v>
      </c>
      <c r="K36" s="743">
        <f t="shared" si="5"/>
        <v>0</v>
      </c>
      <c r="L36" s="743">
        <f t="shared" si="5"/>
        <v>0</v>
      </c>
      <c r="M36" s="743">
        <f t="shared" si="5"/>
        <v>56122.249600000003</v>
      </c>
      <c r="N36" s="759">
        <f t="shared" si="5"/>
        <v>0</v>
      </c>
      <c r="T36" s="327"/>
    </row>
    <row r="37" spans="1:22">
      <c r="C37" s="323"/>
      <c r="D37" s="758"/>
      <c r="E37" s="758"/>
      <c r="F37" s="758"/>
      <c r="G37" s="758"/>
      <c r="H37" s="758"/>
      <c r="I37" s="758"/>
      <c r="J37" s="758"/>
      <c r="K37" s="758"/>
      <c r="L37" s="758"/>
      <c r="M37" s="758"/>
      <c r="N37" s="758"/>
      <c r="T37" s="327"/>
    </row>
    <row r="38" spans="1:22">
      <c r="F38" s="346"/>
      <c r="G38" s="346"/>
      <c r="H38" s="346"/>
      <c r="I38" s="378"/>
      <c r="J38" s="378"/>
      <c r="K38" s="378"/>
      <c r="L38" s="378"/>
      <c r="T38" s="327"/>
    </row>
    <row r="39" spans="1:22">
      <c r="F39" s="346"/>
      <c r="G39" s="346"/>
      <c r="H39" s="347"/>
      <c r="I39" s="396" t="s">
        <v>31</v>
      </c>
      <c r="J39" s="396" t="s">
        <v>119</v>
      </c>
      <c r="K39" s="396" t="s">
        <v>295</v>
      </c>
      <c r="L39" s="378" t="s">
        <v>22</v>
      </c>
      <c r="N39" s="323" t="s">
        <v>0</v>
      </c>
      <c r="T39" s="327"/>
    </row>
    <row r="40" spans="1:22">
      <c r="F40" s="397" t="s">
        <v>33</v>
      </c>
      <c r="G40" s="346"/>
      <c r="H40" s="347"/>
      <c r="I40" s="760">
        <f>SUM(D36:F37)+SUM(I36:K37)</f>
        <v>0</v>
      </c>
      <c r="J40" s="760">
        <f>SUM(G36:H37)+SUM(L36:M37)</f>
        <v>60188.405400000003</v>
      </c>
      <c r="K40" s="760">
        <f>SUM(N36:N37)</f>
        <v>0</v>
      </c>
      <c r="T40" s="327"/>
    </row>
    <row r="41" spans="1:22">
      <c r="F41" s="348" t="s">
        <v>311</v>
      </c>
      <c r="G41" s="346"/>
      <c r="H41" s="347"/>
      <c r="I41" s="760">
        <f>+VLOOKUP($P$6,'IBNR+Freq'!$B$11:$R$21,14,FALSE)</f>
        <v>0</v>
      </c>
      <c r="J41" s="760">
        <f>+VLOOKUP($P$6,'IBNR+Freq'!$B$11:$R$21,15,FALSE)</f>
        <v>0</v>
      </c>
      <c r="K41" s="760">
        <f>+VLOOKUP($P$6,'IBNR+Freq'!$B$11:$R$21,16,FALSE)</f>
        <v>0</v>
      </c>
      <c r="T41" s="327"/>
      <c r="U41" s="349"/>
    </row>
    <row r="42" spans="1:22">
      <c r="F42" s="348" t="s">
        <v>35</v>
      </c>
      <c r="G42" s="346"/>
      <c r="H42" s="347"/>
      <c r="I42" s="760">
        <f>MAXA(SUM(I40:I41),0)</f>
        <v>0</v>
      </c>
      <c r="J42" s="760">
        <f>MAXA(SUM(J40:J41),0)</f>
        <v>60188.405400000003</v>
      </c>
      <c r="K42" s="760">
        <f>MAXA(SUM(K40:K41),0)</f>
        <v>0</v>
      </c>
      <c r="T42" s="327"/>
      <c r="U42" s="569"/>
      <c r="V42" s="570"/>
    </row>
    <row r="43" spans="1:22">
      <c r="F43" s="348"/>
      <c r="G43" s="346"/>
      <c r="H43" s="347"/>
      <c r="I43" s="760"/>
      <c r="J43" s="760"/>
      <c r="K43" s="760"/>
      <c r="T43" s="327"/>
      <c r="U43" s="569"/>
      <c r="V43" s="570"/>
    </row>
    <row r="44" spans="1:22">
      <c r="C44" s="323" t="s">
        <v>0</v>
      </c>
      <c r="F44" s="348" t="s">
        <v>36</v>
      </c>
      <c r="G44" s="346"/>
      <c r="H44" s="347"/>
      <c r="I44" s="760">
        <f>+VLOOKUP($P$6,UPP!$C$3:$AC$20,22,FALSE)</f>
        <v>11281.068229700157</v>
      </c>
      <c r="J44" s="760">
        <f>+VLOOKUP($P$6,UPP!$C$3:$AC$20,23,FALSE)</f>
        <v>2252.3303178058832</v>
      </c>
      <c r="K44" s="760">
        <f>+VLOOKUP($P$6,UPP!$C$3:$AC$20,24,FALSE)</f>
        <v>130.09149249396052</v>
      </c>
      <c r="T44" s="327"/>
      <c r="U44" s="569"/>
      <c r="V44" s="570"/>
    </row>
    <row r="45" spans="1:22">
      <c r="C45" s="323" t="s">
        <v>0</v>
      </c>
      <c r="D45" s="323" t="s">
        <v>0</v>
      </c>
      <c r="F45" s="348" t="s">
        <v>37</v>
      </c>
      <c r="G45" s="346"/>
      <c r="H45" s="347"/>
      <c r="I45" s="761">
        <f>+VLOOKUP($P$6,UPP!$C$3:$AC$20,25,FALSE)</f>
        <v>0</v>
      </c>
      <c r="J45" s="761">
        <f>+VLOOKUP($P$6,UPP!$C$3:$AC$20,26,FALSE)</f>
        <v>0</v>
      </c>
      <c r="K45" s="761">
        <f>+VLOOKUP($P$6,UPP!$C$3:$AC$20,27,FALSE)</f>
        <v>0</v>
      </c>
      <c r="T45" s="327"/>
    </row>
    <row r="46" spans="1:22">
      <c r="C46" s="323"/>
      <c r="D46" s="323"/>
      <c r="F46" s="323"/>
      <c r="I46" s="762"/>
      <c r="J46" s="762"/>
      <c r="K46" s="762"/>
      <c r="L46" s="326"/>
      <c r="T46" s="327"/>
    </row>
    <row r="47" spans="1:22">
      <c r="F47" s="348" t="s">
        <v>39</v>
      </c>
      <c r="G47" s="346"/>
      <c r="H47" s="346"/>
      <c r="I47" s="346"/>
      <c r="J47" s="346"/>
      <c r="K47" s="346"/>
      <c r="L47" s="346"/>
      <c r="N47" s="323" t="s">
        <v>0</v>
      </c>
      <c r="T47" s="327"/>
    </row>
    <row r="48" spans="1:22">
      <c r="F48" s="348" t="s">
        <v>312</v>
      </c>
      <c r="G48" s="346"/>
      <c r="H48" s="347"/>
      <c r="I48" s="763">
        <f>+VLOOKUP($P$6,'Exp Loss Report_PAYROLL'!$A$7:$Q$17,3,FALSE)</f>
        <v>0</v>
      </c>
      <c r="J48" s="763">
        <f>+VLOOKUP($P$6,'Exp Loss Report_PAYROLL'!$A$7:$Q$17,5,FALSE)</f>
        <v>33.813710898876408</v>
      </c>
      <c r="K48" s="763">
        <f>+VLOOKUP($P$6,'Exp Loss Report_PAYROLL'!$A$7:$Q$17,7,FALSE)</f>
        <v>0</v>
      </c>
      <c r="L48" s="350">
        <f>+SUM(I48:K48)</f>
        <v>33.813710898876408</v>
      </c>
      <c r="T48" s="327"/>
    </row>
    <row r="49" spans="5:30">
      <c r="F49" s="348" t="s">
        <v>40</v>
      </c>
      <c r="G49" s="346"/>
      <c r="H49" s="347"/>
      <c r="I49" s="763">
        <f>+VLOOKUP($P$6,'Exp Loss Report_PAYROLL'!$A$7:$T$17,15,FALSE)</f>
        <v>0</v>
      </c>
      <c r="J49" s="763">
        <f>+VLOOKUP($P$6,'Exp Loss Report_PAYROLL'!$A$7:$T$17,16,FALSE)</f>
        <v>21.001695839292136</v>
      </c>
      <c r="K49" s="763">
        <f>+VLOOKUP($P$6,'Exp Loss Report_PAYROLL'!$A$7:$T$17,17,FALSE)</f>
        <v>0</v>
      </c>
      <c r="L49" s="350">
        <f>SUM(I49:K49)</f>
        <v>21.001695839292136</v>
      </c>
      <c r="T49" s="327"/>
    </row>
    <row r="50" spans="5:30">
      <c r="F50" s="397" t="s">
        <v>313</v>
      </c>
      <c r="G50" s="346"/>
      <c r="H50" s="347"/>
      <c r="I50" s="763">
        <f>+VLOOKUP($P$6,'Exp Loss Report_PAYROLL'!$A$7:$T$17,9,FALSE)</f>
        <v>6.0848053973792817</v>
      </c>
      <c r="J50" s="763">
        <f>+VLOOKUP($P$6,'Exp Loss Report_PAYROLL'!$A$7:$T$17,11,FALSE)</f>
        <v>1.2148664820929373</v>
      </c>
      <c r="K50" s="763">
        <f>+VLOOKUP($P$6,'Exp Loss Report_PAYROLL'!$A$7:$T$17,13,FALSE)</f>
        <v>7.0169012327781735E-2</v>
      </c>
      <c r="L50" s="350">
        <f>SUM(I50:K50)</f>
        <v>7.3698408918000009</v>
      </c>
      <c r="T50" s="327"/>
      <c r="U50" s="349" t="s">
        <v>307</v>
      </c>
    </row>
    <row r="51" spans="5:30">
      <c r="F51" s="348" t="s">
        <v>41</v>
      </c>
      <c r="G51" s="346"/>
      <c r="H51" s="347"/>
      <c r="I51" s="763">
        <f>+VLOOKUP($P$6,'Exp Loss Report_PAYROLL'!$A$7:$T$17,18,FALSE)</f>
        <v>6.0848053973792817</v>
      </c>
      <c r="J51" s="763">
        <f>+VLOOKUP($P$6,'Exp Loss Report_PAYROLL'!$A$7:$T$17,19,FALSE)</f>
        <v>1.2148664820929373</v>
      </c>
      <c r="K51" s="763">
        <f>+VLOOKUP($P$6,'Exp Loss Report_PAYROLL'!$A$7:$T$17,20,FALSE)</f>
        <v>7.0169012327781735E-2</v>
      </c>
      <c r="L51" s="350">
        <f>SUM(I51:K51)</f>
        <v>7.3698408918000009</v>
      </c>
      <c r="T51" s="327"/>
      <c r="U51" s="764">
        <f>+IF(MROUND(('Class and Exp Cons'!J4*'CB Template'!I57)+'Class and Exp Cons'!J3,5)&gt;'Class and Exp Cons'!J5,'Class and Exp Cons'!J5,MROUND(('Class and Exp Cons'!J4*'CB Template'!I57)+'Class and Exp Cons'!J3,5))</f>
        <v>3000</v>
      </c>
      <c r="V51" s="326" t="s">
        <v>306</v>
      </c>
    </row>
    <row r="52" spans="5:30">
      <c r="F52" s="398" t="s">
        <v>314</v>
      </c>
      <c r="G52" s="356"/>
      <c r="H52" s="384"/>
      <c r="I52" s="765">
        <f>+VLOOKUP($P$6,UPP!$C$3:$N$20,9,FALSE)</f>
        <v>6.3376787807304256</v>
      </c>
      <c r="J52" s="765">
        <f>+VLOOKUP($P$6,UPP!$C$3:$N$20,10,FALSE)</f>
        <v>1.2653541111269007</v>
      </c>
      <c r="K52" s="765">
        <f>+VLOOKUP($P$6,UPP!$C$3:$N$20,11,FALSE)</f>
        <v>7.3085108142674451E-2</v>
      </c>
      <c r="L52" s="766">
        <f>SUM(I52:K52)</f>
        <v>7.6761180000000007</v>
      </c>
      <c r="M52" s="323" t="s">
        <v>0</v>
      </c>
      <c r="N52" s="323" t="s">
        <v>0</v>
      </c>
      <c r="O52" s="323" t="s">
        <v>0</v>
      </c>
      <c r="T52" s="327"/>
      <c r="U52" s="358"/>
    </row>
    <row r="53" spans="5:30">
      <c r="F53" s="348" t="s">
        <v>45</v>
      </c>
      <c r="G53" s="346"/>
      <c r="H53" s="347"/>
      <c r="I53" s="763">
        <f>(I51/L51)*L53</f>
        <v>6.0848053973792817</v>
      </c>
      <c r="J53" s="763">
        <f>(J51/L51)*L53</f>
        <v>1.2148664820929373</v>
      </c>
      <c r="K53" s="763">
        <f>(K51/L51)*L53</f>
        <v>7.0169012327781735E-2</v>
      </c>
      <c r="L53" s="350">
        <f>MEDIAN(L49:L51)</f>
        <v>7.3698408918000009</v>
      </c>
      <c r="T53" s="327"/>
      <c r="U53" s="358"/>
    </row>
    <row r="54" spans="5:30" ht="10.75" thickBot="1">
      <c r="E54" s="346"/>
      <c r="F54" s="348"/>
      <c r="G54" s="346"/>
      <c r="H54" s="346"/>
      <c r="I54" s="350"/>
      <c r="J54" s="350"/>
      <c r="K54" s="350"/>
      <c r="L54" s="350"/>
      <c r="T54" s="327"/>
      <c r="U54" s="358"/>
    </row>
    <row r="55" spans="5:30" ht="10.75" thickBot="1">
      <c r="E55" s="351" t="s">
        <v>46</v>
      </c>
      <c r="F55" s="767">
        <f>'Previous year''s Pre Surcharge '!D5</f>
        <v>42461</v>
      </c>
      <c r="G55" s="767">
        <f>'Previous year''s Pre Surcharge '!E5</f>
        <v>43191</v>
      </c>
      <c r="H55" s="767">
        <f>'Previous year''s Pre Surcharge '!F5</f>
        <v>44287</v>
      </c>
      <c r="I55" s="768" t="s">
        <v>620</v>
      </c>
      <c r="J55" s="352"/>
      <c r="K55" s="353" t="s">
        <v>315</v>
      </c>
      <c r="L55" s="352">
        <f>+IF(P5=6,L53*'CB Item 3'!S12,"")</f>
        <v>10.505708191260901</v>
      </c>
      <c r="T55" s="327"/>
      <c r="U55" s="769">
        <f>U51</f>
        <v>3000</v>
      </c>
    </row>
    <row r="56" spans="5:30">
      <c r="E56" s="354" t="s">
        <v>47</v>
      </c>
      <c r="F56" s="357"/>
      <c r="G56" s="399"/>
      <c r="H56" s="399"/>
      <c r="I56" s="761">
        <f>ROUND($L$55,2)</f>
        <v>10.51</v>
      </c>
      <c r="J56" s="356"/>
      <c r="K56" s="357"/>
      <c r="L56" s="770"/>
      <c r="T56" s="327"/>
    </row>
    <row r="57" spans="5:30">
      <c r="E57" s="354" t="s">
        <v>48</v>
      </c>
      <c r="F57" s="761">
        <f>+ROUND(IF(P6=9108,100,VLOOKUP(P6,'Previous year''s Pre Surcharge '!B7:E21,3,FALSE)),2)</f>
        <v>11.3</v>
      </c>
      <c r="G57" s="761">
        <f>+ROUND(IF(P6=9108,100,VLOOKUP(P6,'Previous year''s Pre Surcharge '!B7:E21,4,FALSE)),2)</f>
        <v>9.93</v>
      </c>
      <c r="H57" s="761">
        <f>+ROUND(IF(P6=9108,100,VLOOKUP($P$6,UPP!$C$3:$F$20,4,FALSE)),2)</f>
        <v>10.98</v>
      </c>
      <c r="I57" s="771" t="str">
        <f>"+"&amp;" "&amp;FIXED($L$55)&amp;" "</f>
        <v xml:space="preserve">+ 10.51 </v>
      </c>
      <c r="J57" s="356"/>
      <c r="K57" s="385"/>
      <c r="L57" s="772"/>
      <c r="T57" s="327"/>
    </row>
    <row r="58" spans="5:30">
      <c r="E58" s="359"/>
      <c r="F58" s="331"/>
      <c r="G58" s="773"/>
      <c r="H58" s="773"/>
      <c r="I58" s="400" t="s">
        <v>316</v>
      </c>
      <c r="K58" s="360"/>
      <c r="L58" s="328"/>
      <c r="T58" s="327"/>
    </row>
    <row r="59" spans="5:30" hidden="1">
      <c r="E59" s="359"/>
      <c r="F59" s="331"/>
      <c r="G59" s="773"/>
      <c r="H59" s="773"/>
      <c r="I59" s="400"/>
      <c r="K59" s="360"/>
      <c r="L59" s="328"/>
      <c r="T59" s="327"/>
    </row>
    <row r="60" spans="5:30" hidden="1">
      <c r="E60" s="359"/>
      <c r="F60" s="331"/>
      <c r="G60" s="773"/>
      <c r="H60" s="773"/>
      <c r="I60" s="400"/>
      <c r="K60" s="360"/>
      <c r="L60" s="328"/>
      <c r="T60" s="327"/>
    </row>
    <row r="61" spans="5:30" hidden="1">
      <c r="E61" s="359"/>
      <c r="F61" s="331"/>
      <c r="G61" s="773"/>
      <c r="H61" s="773"/>
      <c r="I61" s="400"/>
      <c r="K61" s="360"/>
      <c r="L61" s="328"/>
      <c r="T61" s="327"/>
    </row>
    <row r="62" spans="5:30" s="324" customFormat="1" hidden="1">
      <c r="S62" s="326"/>
      <c r="T62" s="327"/>
      <c r="V62" s="326"/>
      <c r="W62" s="326"/>
      <c r="X62" s="326"/>
      <c r="Y62" s="326"/>
      <c r="Z62" s="326"/>
      <c r="AA62" s="326"/>
      <c r="AB62" s="326"/>
      <c r="AC62" s="326"/>
      <c r="AD62" s="326"/>
    </row>
    <row r="63" spans="5:30" hidden="1">
      <c r="F63" s="329"/>
      <c r="S63" s="324"/>
      <c r="T63" s="330"/>
    </row>
    <row r="64" spans="5:30" hidden="1">
      <c r="G64" s="323" t="s">
        <v>49</v>
      </c>
      <c r="H64" s="324">
        <f>+IF(P5=1,H57*'CB Item 3'!R12,IF('CB Template'!P5=2,H57*'CB Item 3'!R13,H57*'CB Item 3'!R14))</f>
        <v>0</v>
      </c>
      <c r="T64" s="327"/>
    </row>
    <row r="65" spans="1:20" hidden="1">
      <c r="G65" s="323" t="s">
        <v>50</v>
      </c>
      <c r="H65" s="324">
        <f>+IF(P5=1,H57*'CB Item 3'!Q12,IF('CB Template'!P5=2,H57*'CB Item 3'!Q13,H57*'CB Item 3'!Q14))</f>
        <v>0</v>
      </c>
      <c r="T65" s="327"/>
    </row>
    <row r="66" spans="1:20" hidden="1">
      <c r="G66" s="323" t="s">
        <v>51</v>
      </c>
      <c r="H66" s="324">
        <f>I56</f>
        <v>10.51</v>
      </c>
      <c r="T66" s="327"/>
    </row>
    <row r="67" spans="1:20" hidden="1">
      <c r="T67" s="327"/>
    </row>
    <row r="68" spans="1:20" hidden="1">
      <c r="T68" s="327"/>
    </row>
    <row r="69" spans="1:20" hidden="1">
      <c r="E69" s="323" t="s">
        <v>0</v>
      </c>
      <c r="F69" s="323"/>
      <c r="I69" s="361"/>
      <c r="L69" s="323" t="s">
        <v>0</v>
      </c>
      <c r="T69" s="327"/>
    </row>
    <row r="70" spans="1:20" hidden="1">
      <c r="C70" s="323" t="s">
        <v>3</v>
      </c>
      <c r="H70" s="359" t="s">
        <v>52</v>
      </c>
      <c r="N70" s="323" t="s">
        <v>4</v>
      </c>
      <c r="T70" s="327"/>
    </row>
    <row r="71" spans="1:20" hidden="1">
      <c r="C71" s="324" t="str">
        <f>C5</f>
        <v>CLASS  BOAT BUILDING OR REPAIR</v>
      </c>
      <c r="D71" s="329"/>
      <c r="G71" s="329"/>
      <c r="H71" s="329"/>
      <c r="I71" s="329"/>
      <c r="J71" s="329"/>
      <c r="K71" s="329"/>
      <c r="L71" s="329"/>
      <c r="M71" s="329"/>
      <c r="N71" s="362" t="str">
        <f>P6</f>
        <v>6824F</v>
      </c>
      <c r="T71" s="327"/>
    </row>
    <row r="72" spans="1:20" hidden="1">
      <c r="C72" s="323" t="s">
        <v>0</v>
      </c>
      <c r="T72" s="327"/>
    </row>
    <row r="73" spans="1:20" hidden="1">
      <c r="C73" s="363"/>
      <c r="D73" s="364"/>
      <c r="E73" s="363"/>
      <c r="F73" s="363"/>
      <c r="G73" s="363"/>
      <c r="H73" s="365" t="s">
        <v>52</v>
      </c>
      <c r="I73" s="363"/>
      <c r="J73" s="363"/>
      <c r="K73" s="363"/>
      <c r="L73" s="363"/>
      <c r="M73" s="363"/>
      <c r="N73" s="363"/>
      <c r="T73" s="327"/>
    </row>
    <row r="74" spans="1:20" hidden="1">
      <c r="C74" s="331" t="s">
        <v>5</v>
      </c>
      <c r="D74" s="366"/>
      <c r="E74" s="367"/>
      <c r="F74" s="368" t="s">
        <v>29</v>
      </c>
      <c r="G74" s="367"/>
      <c r="H74" s="367"/>
      <c r="I74" s="366"/>
      <c r="J74" s="367"/>
      <c r="K74" s="368" t="s">
        <v>20</v>
      </c>
      <c r="L74" s="367"/>
      <c r="M74" s="367"/>
      <c r="N74" s="367"/>
      <c r="T74" s="327"/>
    </row>
    <row r="75" spans="1:20" hidden="1">
      <c r="C75" s="369" t="s">
        <v>6</v>
      </c>
      <c r="D75" s="370" t="s">
        <v>7</v>
      </c>
      <c r="E75" s="330" t="s">
        <v>8</v>
      </c>
      <c r="F75" s="330" t="s">
        <v>9</v>
      </c>
      <c r="G75" s="330" t="s">
        <v>10</v>
      </c>
      <c r="H75" s="330" t="s">
        <v>11</v>
      </c>
      <c r="I75" s="370" t="s">
        <v>7</v>
      </c>
      <c r="J75" s="330" t="s">
        <v>8</v>
      </c>
      <c r="K75" s="330" t="s">
        <v>9</v>
      </c>
      <c r="L75" s="330" t="s">
        <v>10</v>
      </c>
      <c r="M75" s="330" t="s">
        <v>11</v>
      </c>
      <c r="N75" s="371"/>
      <c r="T75" s="327"/>
    </row>
    <row r="76" spans="1:20" hidden="1">
      <c r="C76" s="324">
        <f>C9</f>
        <v>2015</v>
      </c>
      <c r="D76" s="751" t="e">
        <f>+VLOOKUP($A78,'Translated Loss'!$AF$5:$AP$1579,2,FALSE)</f>
        <v>#N/A</v>
      </c>
      <c r="E76" s="746" t="e">
        <f>+VLOOKUP($A78,'Translated Loss'!$AF$5:$AP$1579,3,FALSE)</f>
        <v>#N/A</v>
      </c>
      <c r="F76" s="746" t="e">
        <f>+VLOOKUP($A78,'Translated Loss'!$AF$5:$AP$1579,4,FALSE)</f>
        <v>#N/A</v>
      </c>
      <c r="G76" s="746" t="e">
        <f>+VLOOKUP($A78,'Translated Loss'!$AF$5:$AP$1579,5,FALSE)</f>
        <v>#N/A</v>
      </c>
      <c r="H76" s="746" t="e">
        <f>+VLOOKUP($A78,'Translated Loss'!$AF$5:$AP$1579,6,FALSE)</f>
        <v>#N/A</v>
      </c>
      <c r="I76" s="746" t="e">
        <f>+VLOOKUP($A78,'Translated Loss'!$AF$5:$AP$1579,7,FALSE)</f>
        <v>#N/A</v>
      </c>
      <c r="J76" s="746" t="e">
        <f>+VLOOKUP($A78,'Translated Loss'!$AF$5:$AP$1579,8,FALSE)</f>
        <v>#N/A</v>
      </c>
      <c r="K76" s="746" t="e">
        <f>+VLOOKUP($A78,'Translated Loss'!$AF$5:$AP$1579,9,FALSE)</f>
        <v>#N/A</v>
      </c>
      <c r="L76" s="746" t="e">
        <f>+VLOOKUP($A78,'Translated Loss'!$AF$5:$AP$1579,10,FALSE)</f>
        <v>#N/A</v>
      </c>
      <c r="M76" s="746" t="e">
        <f>+VLOOKUP($A78,'Translated Loss'!$AF$5:$AP$1579,11,FALSE)</f>
        <v>#N/A</v>
      </c>
      <c r="N76" s="372"/>
      <c r="T76" s="327"/>
    </row>
    <row r="77" spans="1:20" hidden="1">
      <c r="C77" s="324">
        <f>C10</f>
        <v>2016</v>
      </c>
      <c r="D77" s="753" t="e">
        <f>+VLOOKUP($A79,'Translated Loss'!$AF$5:$AP$1579,2,FALSE)</f>
        <v>#N/A</v>
      </c>
      <c r="E77" s="373" t="e">
        <f>+VLOOKUP($A79,'Translated Loss'!$AF$5:$AP$1579,3,FALSE)</f>
        <v>#N/A</v>
      </c>
      <c r="F77" s="373" t="e">
        <f>+VLOOKUP($A79,'Translated Loss'!$AF$5:$AP$1579,4,FALSE)</f>
        <v>#N/A</v>
      </c>
      <c r="G77" s="373" t="e">
        <f>+VLOOKUP($A79,'Translated Loss'!$AF$5:$AP$1579,5,FALSE)</f>
        <v>#N/A</v>
      </c>
      <c r="H77" s="373" t="e">
        <f>+VLOOKUP($A79,'Translated Loss'!$AF$5:$AP$1579,6,FALSE)</f>
        <v>#N/A</v>
      </c>
      <c r="I77" s="373" t="e">
        <f>+VLOOKUP($A79,'Translated Loss'!$AF$5:$AP$1579,7,FALSE)</f>
        <v>#N/A</v>
      </c>
      <c r="J77" s="373" t="e">
        <f>+VLOOKUP($A79,'Translated Loss'!$AF$5:$AP$1579,8,FALSE)</f>
        <v>#N/A</v>
      </c>
      <c r="K77" s="373" t="e">
        <f>+VLOOKUP($A79,'Translated Loss'!$AF$5:$AP$1579,9,FALSE)</f>
        <v>#N/A</v>
      </c>
      <c r="L77" s="373" t="e">
        <f>+VLOOKUP($A79,'Translated Loss'!$AF$5:$AP$1579,10,FALSE)</f>
        <v>#N/A</v>
      </c>
      <c r="M77" s="373" t="e">
        <f>+VLOOKUP($A79,'Translated Loss'!$AF$5:$AP$1579,11,FALSE)</f>
        <v>#N/A</v>
      </c>
      <c r="N77" s="373"/>
      <c r="T77" s="327"/>
    </row>
    <row r="78" spans="1:20" hidden="1">
      <c r="A78" s="324" t="str">
        <f>+$P$6&amp;C76</f>
        <v>6824F2015</v>
      </c>
      <c r="C78" s="324">
        <f>C11</f>
        <v>2017</v>
      </c>
      <c r="D78" s="753" t="e">
        <f>+VLOOKUP($A80,'Translated Loss'!$AF$5:$AP$1579,2,FALSE)</f>
        <v>#N/A</v>
      </c>
      <c r="E78" s="373" t="e">
        <f>+VLOOKUP($A80,'Translated Loss'!$AF$5:$AP$1579,3,FALSE)</f>
        <v>#N/A</v>
      </c>
      <c r="F78" s="373" t="e">
        <f>+VLOOKUP($A80,'Translated Loss'!$AF$5:$AP$1579,4,FALSE)</f>
        <v>#N/A</v>
      </c>
      <c r="G78" s="373" t="e">
        <f>+VLOOKUP($A80,'Translated Loss'!$AF$5:$AP$1579,5,FALSE)</f>
        <v>#N/A</v>
      </c>
      <c r="H78" s="373" t="e">
        <f>+VLOOKUP($A80,'Translated Loss'!$AF$5:$AP$1579,6,FALSE)</f>
        <v>#N/A</v>
      </c>
      <c r="I78" s="373" t="e">
        <f>+VLOOKUP($A80,'Translated Loss'!$AF$5:$AP$1579,7,FALSE)</f>
        <v>#N/A</v>
      </c>
      <c r="J78" s="373" t="e">
        <f>+VLOOKUP($A80,'Translated Loss'!$AF$5:$AP$1579,8,FALSE)</f>
        <v>#N/A</v>
      </c>
      <c r="K78" s="373" t="e">
        <f>+VLOOKUP($A80,'Translated Loss'!$AF$5:$AP$1579,9,FALSE)</f>
        <v>#N/A</v>
      </c>
      <c r="L78" s="373" t="e">
        <f>+VLOOKUP($A80,'Translated Loss'!$AF$5:$AP$1579,10,FALSE)</f>
        <v>#N/A</v>
      </c>
      <c r="M78" s="373" t="e">
        <f>+VLOOKUP($A80,'Translated Loss'!$AF$5:$AP$1579,11,FALSE)</f>
        <v>#N/A</v>
      </c>
      <c r="N78" s="373"/>
      <c r="T78" s="327"/>
    </row>
    <row r="79" spans="1:20" hidden="1">
      <c r="A79" s="324" t="str">
        <f>+$P$6&amp;C77</f>
        <v>6824F2016</v>
      </c>
      <c r="C79" s="324">
        <f>C12</f>
        <v>2018</v>
      </c>
      <c r="D79" s="753" t="e">
        <f>+VLOOKUP($A81,'Translated Loss'!$AF$5:$AP$1579,2,FALSE)</f>
        <v>#N/A</v>
      </c>
      <c r="E79" s="373" t="e">
        <f>+VLOOKUP($A81,'Translated Loss'!$AF$5:$AP$1579,3,FALSE)</f>
        <v>#N/A</v>
      </c>
      <c r="F79" s="373" t="e">
        <f>+VLOOKUP($A81,'Translated Loss'!$AF$5:$AP$1579,4,FALSE)</f>
        <v>#N/A</v>
      </c>
      <c r="G79" s="373" t="e">
        <f>+VLOOKUP($A81,'Translated Loss'!$AF$5:$AP$1579,5,FALSE)</f>
        <v>#N/A</v>
      </c>
      <c r="H79" s="373" t="e">
        <f>+VLOOKUP($A81,'Translated Loss'!$AF$5:$AP$1579,6,FALSE)</f>
        <v>#N/A</v>
      </c>
      <c r="I79" s="373" t="e">
        <f>+VLOOKUP($A81,'Translated Loss'!$AF$5:$AP$1579,7,FALSE)</f>
        <v>#N/A</v>
      </c>
      <c r="J79" s="373" t="e">
        <f>+VLOOKUP($A81,'Translated Loss'!$AF$5:$AP$1579,8,FALSE)</f>
        <v>#N/A</v>
      </c>
      <c r="K79" s="373" t="e">
        <f>+VLOOKUP($A81,'Translated Loss'!$AF$5:$AP$1579,9,FALSE)</f>
        <v>#N/A</v>
      </c>
      <c r="L79" s="373" t="e">
        <f>+VLOOKUP($A81,'Translated Loss'!$AF$5:$AP$1579,10,FALSE)</f>
        <v>#N/A</v>
      </c>
      <c r="M79" s="373" t="e">
        <f>+VLOOKUP($A81,'Translated Loss'!$AF$5:$AP$1579,11,FALSE)</f>
        <v>#N/A</v>
      </c>
      <c r="N79" s="373"/>
      <c r="T79" s="327"/>
    </row>
    <row r="80" spans="1:20" hidden="1">
      <c r="A80" s="324" t="str">
        <f>+$P$6&amp;C78</f>
        <v>6824F2017</v>
      </c>
      <c r="C80" s="346">
        <f>C13</f>
        <v>2019</v>
      </c>
      <c r="D80" s="754">
        <f>+VLOOKUP($A82,'Translated Loss'!$AF$5:$AP$1579,2,FALSE)</f>
        <v>0</v>
      </c>
      <c r="E80" s="374">
        <f>+VLOOKUP($A82,'Translated Loss'!$AF$5:$AP$1579,3,FALSE)</f>
        <v>0</v>
      </c>
      <c r="F80" s="374">
        <f>+VLOOKUP($A82,'Translated Loss'!$AF$5:$AP$1579,4,FALSE)</f>
        <v>0</v>
      </c>
      <c r="G80" s="374">
        <f>+VLOOKUP($A82,'Translated Loss'!$AF$5:$AP$1579,5,FALSE)</f>
        <v>0</v>
      </c>
      <c r="H80" s="374">
        <f>+VLOOKUP($A82,'Translated Loss'!$AF$5:$AP$1579,6,FALSE)</f>
        <v>0</v>
      </c>
      <c r="I80" s="374">
        <f>+VLOOKUP($A82,'Translated Loss'!$AF$5:$AP$1579,7,FALSE)</f>
        <v>0</v>
      </c>
      <c r="J80" s="374">
        <f>+VLOOKUP($A82,'Translated Loss'!$AF$5:$AP$1579,8,FALSE)</f>
        <v>0</v>
      </c>
      <c r="K80" s="374">
        <f>+VLOOKUP($A82,'Translated Loss'!$AF$5:$AP$1579,9,FALSE)</f>
        <v>0</v>
      </c>
      <c r="L80" s="374">
        <f>+VLOOKUP($A82,'Translated Loss'!$AF$5:$AP$1579,10,FALSE)</f>
        <v>0</v>
      </c>
      <c r="M80" s="374">
        <f>+VLOOKUP($A82,'Translated Loss'!$AF$5:$AP$1579,11,FALSE)</f>
        <v>0</v>
      </c>
      <c r="N80" s="374"/>
      <c r="T80" s="327"/>
    </row>
    <row r="81" spans="1:20" hidden="1">
      <c r="A81" s="324" t="str">
        <f>+$P$6&amp;C79</f>
        <v>6824F2018</v>
      </c>
      <c r="T81" s="327"/>
    </row>
    <row r="82" spans="1:20" hidden="1">
      <c r="A82" s="324" t="str">
        <f>+$P$6&amp;C80</f>
        <v>6824F2019</v>
      </c>
      <c r="T82" s="327"/>
    </row>
    <row r="83" spans="1:20" hidden="1">
      <c r="T83" s="327"/>
    </row>
    <row r="84" spans="1:20" hidden="1">
      <c r="T84" s="327"/>
    </row>
    <row r="85" spans="1:20" hidden="1">
      <c r="T85" s="327"/>
    </row>
    <row r="86" spans="1:20" hidden="1">
      <c r="T86" s="327"/>
    </row>
    <row r="87" spans="1:20" hidden="1">
      <c r="C87" s="323"/>
      <c r="T87" s="327"/>
    </row>
    <row r="88" spans="1:20" hidden="1">
      <c r="T88" s="327"/>
    </row>
    <row r="89" spans="1:20" hidden="1">
      <c r="T89" s="327"/>
    </row>
    <row r="90" spans="1:20" hidden="1">
      <c r="T90" s="327"/>
    </row>
    <row r="91" spans="1:20" hidden="1">
      <c r="T91" s="327"/>
    </row>
    <row r="92" spans="1:20" hidden="1">
      <c r="T92" s="327"/>
    </row>
    <row r="93" spans="1:20" hidden="1">
      <c r="T93" s="327"/>
    </row>
    <row r="94" spans="1:20" hidden="1">
      <c r="T94" s="327"/>
    </row>
    <row r="95" spans="1:20" hidden="1">
      <c r="T95" s="327"/>
    </row>
    <row r="96" spans="1:20" hidden="1">
      <c r="T96" s="327"/>
    </row>
    <row r="97" spans="3:20" hidden="1">
      <c r="T97" s="327"/>
    </row>
    <row r="98" spans="3:20" hidden="1">
      <c r="C98" s="323" t="s">
        <v>0</v>
      </c>
      <c r="T98" s="327"/>
    </row>
    <row r="99" spans="3:20" hidden="1">
      <c r="T99" s="327"/>
    </row>
    <row r="100" spans="3:20" hidden="1">
      <c r="T100" s="327"/>
    </row>
    <row r="101" spans="3:20" hidden="1">
      <c r="T101" s="327"/>
    </row>
    <row r="102" spans="3:20" hidden="1">
      <c r="T102" s="327"/>
    </row>
    <row r="103" spans="3:20" hidden="1">
      <c r="T103" s="327"/>
    </row>
    <row r="104" spans="3:20" hidden="1">
      <c r="T104" s="327"/>
    </row>
    <row r="105" spans="3:20" hidden="1">
      <c r="C105" s="323"/>
      <c r="T105" s="327"/>
    </row>
    <row r="106" spans="3:20" hidden="1">
      <c r="I106" s="328"/>
      <c r="T106" s="327"/>
    </row>
    <row r="107" spans="3:20" hidden="1">
      <c r="T107" s="327"/>
    </row>
    <row r="108" spans="3:20" hidden="1">
      <c r="E108" s="774"/>
      <c r="F108" s="774"/>
      <c r="G108" s="774"/>
      <c r="T108" s="327"/>
    </row>
    <row r="109" spans="3:20" hidden="1">
      <c r="T109" s="327"/>
    </row>
    <row r="110" spans="3:20" hidden="1">
      <c r="T110" s="327"/>
    </row>
    <row r="111" spans="3:20" hidden="1">
      <c r="T111" s="327"/>
    </row>
    <row r="112" spans="3:20" hidden="1">
      <c r="T112" s="327"/>
    </row>
    <row r="113" spans="20:20" hidden="1">
      <c r="T113" s="327"/>
    </row>
    <row r="114" spans="20:20" hidden="1">
      <c r="T114" s="327"/>
    </row>
    <row r="115" spans="20:20" hidden="1">
      <c r="T115" s="327"/>
    </row>
    <row r="116" spans="20:20" hidden="1">
      <c r="T116" s="327"/>
    </row>
    <row r="117" spans="20:20" hidden="1">
      <c r="T117" s="327"/>
    </row>
    <row r="118" spans="20:20" hidden="1">
      <c r="T118" s="327"/>
    </row>
    <row r="119" spans="20:20" hidden="1">
      <c r="T119" s="327"/>
    </row>
    <row r="120" spans="20:20" hidden="1">
      <c r="T120" s="327"/>
    </row>
    <row r="121" spans="20:20" hidden="1">
      <c r="T121" s="327"/>
    </row>
    <row r="122" spans="20:20" hidden="1">
      <c r="T122" s="327"/>
    </row>
    <row r="123" spans="20:20" hidden="1">
      <c r="T123" s="327"/>
    </row>
    <row r="124" spans="20:20" hidden="1">
      <c r="T124" s="327"/>
    </row>
    <row r="125" spans="20:20" hidden="1">
      <c r="T125" s="327"/>
    </row>
    <row r="126" spans="20:20" hidden="1">
      <c r="T126" s="327"/>
    </row>
    <row r="127" spans="20:20" hidden="1">
      <c r="T127" s="327"/>
    </row>
    <row r="128" spans="20:20" hidden="1">
      <c r="T128" s="327"/>
    </row>
    <row r="129" spans="20:20" hidden="1">
      <c r="T129" s="327"/>
    </row>
    <row r="130" spans="20:20" hidden="1">
      <c r="T130" s="327"/>
    </row>
    <row r="131" spans="20:20" hidden="1">
      <c r="T131" s="327"/>
    </row>
    <row r="132" spans="20:20" hidden="1">
      <c r="T132" s="327"/>
    </row>
    <row r="133" spans="20:20" hidden="1">
      <c r="T133" s="327"/>
    </row>
    <row r="134" spans="20:20" hidden="1">
      <c r="T134" s="327"/>
    </row>
    <row r="135" spans="20:20" hidden="1">
      <c r="T135" s="327"/>
    </row>
    <row r="136" spans="20:20" hidden="1">
      <c r="T136" s="327"/>
    </row>
    <row r="137" spans="20:20" hidden="1">
      <c r="T137" s="327"/>
    </row>
    <row r="138" spans="20:20" hidden="1">
      <c r="T138" s="327"/>
    </row>
    <row r="139" spans="20:20" hidden="1">
      <c r="T139" s="327"/>
    </row>
    <row r="140" spans="20:20" hidden="1">
      <c r="T140" s="327"/>
    </row>
    <row r="141" spans="20:20" hidden="1">
      <c r="T141" s="327"/>
    </row>
    <row r="142" spans="20:20" hidden="1">
      <c r="T142" s="327"/>
    </row>
    <row r="143" spans="20:20" hidden="1">
      <c r="T143" s="327"/>
    </row>
    <row r="144" spans="20:20" hidden="1">
      <c r="T144" s="327"/>
    </row>
    <row r="145" spans="20:20" hidden="1">
      <c r="T145" s="327"/>
    </row>
    <row r="146" spans="20:20" hidden="1">
      <c r="T146" s="327"/>
    </row>
    <row r="147" spans="20:20" hidden="1">
      <c r="T147" s="327"/>
    </row>
    <row r="148" spans="20:20" hidden="1">
      <c r="T148" s="327"/>
    </row>
    <row r="149" spans="20:20" hidden="1">
      <c r="T149" s="327"/>
    </row>
    <row r="150" spans="20:20" hidden="1">
      <c r="T150" s="327"/>
    </row>
    <row r="151" spans="20:20" hidden="1">
      <c r="T151" s="327"/>
    </row>
    <row r="152" spans="20:20" hidden="1">
      <c r="T152" s="327"/>
    </row>
    <row r="153" spans="20:20" hidden="1">
      <c r="T153" s="327"/>
    </row>
    <row r="154" spans="20:20" hidden="1">
      <c r="T154" s="327"/>
    </row>
    <row r="155" spans="20:20" hidden="1">
      <c r="T155" s="327"/>
    </row>
    <row r="156" spans="20:20" hidden="1">
      <c r="T156" s="327"/>
    </row>
    <row r="157" spans="20:20" hidden="1">
      <c r="T157" s="327"/>
    </row>
    <row r="158" spans="20:20" hidden="1">
      <c r="T158" s="327"/>
    </row>
    <row r="159" spans="20:20" hidden="1">
      <c r="T159" s="327"/>
    </row>
    <row r="160" spans="20:20" hidden="1">
      <c r="T160" s="327"/>
    </row>
    <row r="161" spans="20:20" hidden="1">
      <c r="T161" s="327"/>
    </row>
    <row r="162" spans="20:20" hidden="1">
      <c r="T162" s="327"/>
    </row>
    <row r="163" spans="20:20" hidden="1">
      <c r="T163" s="327"/>
    </row>
    <row r="164" spans="20:20" hidden="1">
      <c r="T164" s="327"/>
    </row>
    <row r="165" spans="20:20" hidden="1">
      <c r="T165" s="327"/>
    </row>
    <row r="166" spans="20:20" hidden="1">
      <c r="T166" s="327"/>
    </row>
    <row r="167" spans="20:20" hidden="1">
      <c r="T167" s="327"/>
    </row>
    <row r="168" spans="20:20" hidden="1">
      <c r="T168" s="327"/>
    </row>
    <row r="169" spans="20:20" hidden="1">
      <c r="T169" s="327"/>
    </row>
    <row r="170" spans="20:20" hidden="1">
      <c r="T170" s="327"/>
    </row>
    <row r="171" spans="20:20" hidden="1">
      <c r="T171" s="327"/>
    </row>
    <row r="172" spans="20:20" hidden="1">
      <c r="T172" s="327"/>
    </row>
    <row r="173" spans="20:20" hidden="1">
      <c r="T173" s="327"/>
    </row>
    <row r="174" spans="20:20" hidden="1">
      <c r="T174" s="327"/>
    </row>
    <row r="175" spans="20:20" hidden="1">
      <c r="T175" s="327"/>
    </row>
    <row r="176" spans="20:20" hidden="1">
      <c r="T176" s="327"/>
    </row>
    <row r="177" spans="20:20" hidden="1">
      <c r="T177" s="327"/>
    </row>
    <row r="178" spans="20:20" hidden="1">
      <c r="T178" s="327"/>
    </row>
    <row r="179" spans="20:20" hidden="1">
      <c r="T179" s="327"/>
    </row>
    <row r="180" spans="20:20" hidden="1">
      <c r="T180" s="327"/>
    </row>
    <row r="181" spans="20:20" hidden="1">
      <c r="T181" s="327"/>
    </row>
    <row r="182" spans="20:20" hidden="1">
      <c r="T182" s="327"/>
    </row>
    <row r="183" spans="20:20" hidden="1">
      <c r="T183" s="327"/>
    </row>
    <row r="184" spans="20:20" hidden="1">
      <c r="T184" s="327"/>
    </row>
    <row r="185" spans="20:20" hidden="1">
      <c r="T185" s="327"/>
    </row>
    <row r="186" spans="20:20" hidden="1">
      <c r="T186" s="327"/>
    </row>
    <row r="187" spans="20:20" hidden="1">
      <c r="T187" s="327"/>
    </row>
    <row r="188" spans="20:20" hidden="1">
      <c r="T188" s="327"/>
    </row>
    <row r="189" spans="20:20" hidden="1">
      <c r="T189" s="327"/>
    </row>
    <row r="190" spans="20:20" hidden="1">
      <c r="T190" s="327"/>
    </row>
    <row r="191" spans="20:20" hidden="1">
      <c r="T191" s="327"/>
    </row>
    <row r="192" spans="20:20" hidden="1">
      <c r="T192" s="327"/>
    </row>
    <row r="193" spans="20:20" hidden="1">
      <c r="T193" s="327"/>
    </row>
    <row r="194" spans="20:20" hidden="1">
      <c r="T194" s="327"/>
    </row>
    <row r="195" spans="20:20" hidden="1">
      <c r="T195" s="327"/>
    </row>
    <row r="196" spans="20:20" hidden="1">
      <c r="T196" s="327"/>
    </row>
    <row r="197" spans="20:20" hidden="1">
      <c r="T197" s="327"/>
    </row>
    <row r="198" spans="20:20" hidden="1">
      <c r="T198" s="327"/>
    </row>
    <row r="199" spans="20:20" hidden="1">
      <c r="T199" s="327"/>
    </row>
    <row r="200" spans="20:20" hidden="1">
      <c r="T200" s="327"/>
    </row>
    <row r="201" spans="20:20" hidden="1">
      <c r="T201" s="327"/>
    </row>
    <row r="202" spans="20:20" hidden="1">
      <c r="T202" s="327"/>
    </row>
    <row r="203" spans="20:20" hidden="1">
      <c r="T203" s="327"/>
    </row>
    <row r="204" spans="20:20" hidden="1">
      <c r="T204" s="327"/>
    </row>
    <row r="205" spans="20:20" hidden="1">
      <c r="T205" s="327"/>
    </row>
    <row r="206" spans="20:20" hidden="1">
      <c r="T206" s="327"/>
    </row>
    <row r="207" spans="20:20" hidden="1">
      <c r="T207" s="327"/>
    </row>
    <row r="208" spans="20:20" hidden="1">
      <c r="T208" s="327"/>
    </row>
    <row r="209" spans="20:20" hidden="1">
      <c r="T209" s="327"/>
    </row>
    <row r="210" spans="20:20" hidden="1">
      <c r="T210" s="327"/>
    </row>
    <row r="211" spans="20:20" hidden="1">
      <c r="T211" s="327"/>
    </row>
    <row r="212" spans="20:20" hidden="1">
      <c r="T212" s="327"/>
    </row>
    <row r="213" spans="20:20" hidden="1">
      <c r="T213" s="327"/>
    </row>
    <row r="214" spans="20:20" hidden="1">
      <c r="T214" s="327"/>
    </row>
    <row r="215" spans="20:20" hidden="1">
      <c r="T215" s="327"/>
    </row>
    <row r="216" spans="20:20" hidden="1">
      <c r="T216" s="327"/>
    </row>
    <row r="217" spans="20:20" hidden="1">
      <c r="T217" s="327"/>
    </row>
    <row r="218" spans="20:20" hidden="1">
      <c r="T218" s="327"/>
    </row>
    <row r="219" spans="20:20" hidden="1">
      <c r="T219" s="327"/>
    </row>
    <row r="220" spans="20:20" hidden="1">
      <c r="T220" s="327"/>
    </row>
    <row r="221" spans="20:20" hidden="1">
      <c r="T221" s="327"/>
    </row>
    <row r="222" spans="20:20" hidden="1">
      <c r="T222" s="327"/>
    </row>
    <row r="223" spans="20:20" hidden="1">
      <c r="T223" s="327"/>
    </row>
    <row r="224" spans="20:20" hidden="1">
      <c r="T224" s="327"/>
    </row>
    <row r="225" spans="20:20" hidden="1">
      <c r="T225" s="327"/>
    </row>
    <row r="226" spans="20:20" hidden="1">
      <c r="T226" s="327"/>
    </row>
    <row r="227" spans="20:20" hidden="1">
      <c r="T227" s="327"/>
    </row>
    <row r="228" spans="20:20" hidden="1">
      <c r="T228" s="327"/>
    </row>
    <row r="229" spans="20:20" hidden="1">
      <c r="T229" s="327"/>
    </row>
    <row r="230" spans="20:20" hidden="1">
      <c r="T230" s="327"/>
    </row>
    <row r="231" spans="20:20" hidden="1">
      <c r="T231" s="327"/>
    </row>
    <row r="232" spans="20:20" hidden="1">
      <c r="T232" s="327"/>
    </row>
    <row r="233" spans="20:20" hidden="1">
      <c r="T233" s="327"/>
    </row>
    <row r="234" spans="20:20" hidden="1">
      <c r="T234" s="327"/>
    </row>
    <row r="235" spans="20:20" hidden="1">
      <c r="T235" s="327"/>
    </row>
    <row r="236" spans="20:20" hidden="1">
      <c r="T236" s="327"/>
    </row>
    <row r="237" spans="20:20" hidden="1">
      <c r="T237" s="327"/>
    </row>
    <row r="238" spans="20:20" hidden="1">
      <c r="T238" s="327"/>
    </row>
    <row r="239" spans="20:20" hidden="1">
      <c r="T239" s="327"/>
    </row>
    <row r="240" spans="20:20" hidden="1">
      <c r="T240" s="327"/>
    </row>
    <row r="241" spans="20:20" hidden="1">
      <c r="T241" s="327"/>
    </row>
    <row r="242" spans="20:20" hidden="1">
      <c r="T242" s="327"/>
    </row>
    <row r="243" spans="20:20" hidden="1">
      <c r="T243" s="327"/>
    </row>
    <row r="244" spans="20:20" hidden="1">
      <c r="T244" s="327"/>
    </row>
    <row r="245" spans="20:20" hidden="1">
      <c r="T245" s="327"/>
    </row>
    <row r="246" spans="20:20" hidden="1">
      <c r="T246" s="327"/>
    </row>
    <row r="247" spans="20:20" hidden="1">
      <c r="T247" s="327"/>
    </row>
    <row r="248" spans="20:20" hidden="1">
      <c r="T248" s="327"/>
    </row>
    <row r="249" spans="20:20" hidden="1">
      <c r="T249" s="327"/>
    </row>
    <row r="250" spans="20:20" hidden="1">
      <c r="T250" s="327"/>
    </row>
    <row r="251" spans="20:20" hidden="1">
      <c r="T251" s="327"/>
    </row>
    <row r="252" spans="20:20" hidden="1">
      <c r="T252" s="327"/>
    </row>
    <row r="253" spans="20:20" hidden="1">
      <c r="T253" s="327"/>
    </row>
    <row r="254" spans="20:20" hidden="1">
      <c r="T254" s="327"/>
    </row>
    <row r="255" spans="20:20" hidden="1">
      <c r="T255" s="327"/>
    </row>
    <row r="256" spans="20:20" hidden="1">
      <c r="T256" s="327"/>
    </row>
    <row r="257" spans="20:20" hidden="1">
      <c r="T257" s="327"/>
    </row>
    <row r="258" spans="20:20" hidden="1">
      <c r="T258" s="327"/>
    </row>
    <row r="259" spans="20:20" hidden="1">
      <c r="T259" s="327"/>
    </row>
    <row r="260" spans="20:20" hidden="1">
      <c r="T260" s="327"/>
    </row>
    <row r="261" spans="20:20" hidden="1">
      <c r="T261" s="327"/>
    </row>
    <row r="262" spans="20:20" hidden="1">
      <c r="T262" s="327"/>
    </row>
    <row r="263" spans="20:20" hidden="1">
      <c r="T263" s="327"/>
    </row>
    <row r="264" spans="20:20" hidden="1">
      <c r="T264" s="327"/>
    </row>
    <row r="265" spans="20:20" hidden="1">
      <c r="T265" s="327"/>
    </row>
    <row r="266" spans="20:20" hidden="1">
      <c r="T266" s="327"/>
    </row>
    <row r="267" spans="20:20" hidden="1">
      <c r="T267" s="327"/>
    </row>
    <row r="268" spans="20:20" hidden="1">
      <c r="T268" s="327"/>
    </row>
    <row r="269" spans="20:20" hidden="1">
      <c r="T269" s="327"/>
    </row>
    <row r="270" spans="20:20" hidden="1">
      <c r="T270" s="327"/>
    </row>
    <row r="271" spans="20:20" hidden="1">
      <c r="T271" s="327"/>
    </row>
    <row r="272" spans="20:20" hidden="1">
      <c r="T272" s="327"/>
    </row>
    <row r="273" spans="20:20" hidden="1">
      <c r="T273" s="327"/>
    </row>
    <row r="274" spans="20:20" hidden="1">
      <c r="T274" s="327"/>
    </row>
    <row r="275" spans="20:20" hidden="1">
      <c r="T275" s="327"/>
    </row>
    <row r="276" spans="20:20" hidden="1">
      <c r="T276" s="327"/>
    </row>
    <row r="277" spans="20:20" hidden="1">
      <c r="T277" s="327"/>
    </row>
    <row r="278" spans="20:20" hidden="1">
      <c r="T278" s="327"/>
    </row>
    <row r="279" spans="20:20" hidden="1">
      <c r="T279" s="327"/>
    </row>
    <row r="280" spans="20:20" hidden="1">
      <c r="T280" s="327"/>
    </row>
    <row r="281" spans="20:20" hidden="1">
      <c r="T281" s="327"/>
    </row>
    <row r="282" spans="20:20" hidden="1">
      <c r="T282" s="327"/>
    </row>
    <row r="283" spans="20:20" hidden="1">
      <c r="T283" s="327"/>
    </row>
    <row r="284" spans="20:20" hidden="1">
      <c r="T284" s="327"/>
    </row>
    <row r="285" spans="20:20" hidden="1">
      <c r="T285" s="327"/>
    </row>
    <row r="286" spans="20:20" hidden="1">
      <c r="T286" s="327"/>
    </row>
    <row r="287" spans="20:20" hidden="1">
      <c r="T287" s="327"/>
    </row>
    <row r="288" spans="20:20" hidden="1">
      <c r="T288" s="327"/>
    </row>
    <row r="289" spans="20:20" hidden="1">
      <c r="T289" s="327"/>
    </row>
    <row r="290" spans="20:20" hidden="1">
      <c r="T290" s="327"/>
    </row>
    <row r="291" spans="20:20" hidden="1">
      <c r="T291" s="327"/>
    </row>
    <row r="292" spans="20:20" hidden="1">
      <c r="T292" s="327"/>
    </row>
    <row r="293" spans="20:20" hidden="1">
      <c r="T293" s="327"/>
    </row>
    <row r="294" spans="20:20" hidden="1">
      <c r="T294" s="327"/>
    </row>
    <row r="295" spans="20:20" hidden="1">
      <c r="T295" s="327"/>
    </row>
    <row r="296" spans="20:20" hidden="1">
      <c r="T296" s="327"/>
    </row>
    <row r="297" spans="20:20" hidden="1">
      <c r="T297" s="327"/>
    </row>
    <row r="298" spans="20:20" hidden="1">
      <c r="T298" s="327"/>
    </row>
    <row r="299" spans="20:20" hidden="1">
      <c r="T299" s="327"/>
    </row>
    <row r="300" spans="20:20" hidden="1">
      <c r="T300" s="327"/>
    </row>
    <row r="301" spans="20:20" hidden="1">
      <c r="T301" s="327"/>
    </row>
    <row r="302" spans="20:20" hidden="1">
      <c r="T302" s="327"/>
    </row>
    <row r="303" spans="20:20" hidden="1">
      <c r="T303" s="327"/>
    </row>
    <row r="304" spans="20:20" hidden="1">
      <c r="T304" s="327"/>
    </row>
    <row r="305" spans="20:20" hidden="1">
      <c r="T305" s="327"/>
    </row>
    <row r="306" spans="20:20" hidden="1">
      <c r="T306" s="327"/>
    </row>
    <row r="307" spans="20:20" hidden="1">
      <c r="T307" s="327"/>
    </row>
    <row r="308" spans="20:20">
      <c r="T308" s="327"/>
    </row>
    <row r="309" spans="20:20">
      <c r="T309" s="327"/>
    </row>
    <row r="310" spans="20:20">
      <c r="T310" s="327"/>
    </row>
    <row r="311" spans="20:20">
      <c r="T311" s="327"/>
    </row>
    <row r="312" spans="20:20">
      <c r="T312" s="327"/>
    </row>
    <row r="313" spans="20:20">
      <c r="T313" s="327"/>
    </row>
    <row r="314" spans="20:20">
      <c r="T314" s="327"/>
    </row>
    <row r="315" spans="20:20">
      <c r="T315" s="327"/>
    </row>
  </sheetData>
  <sortState xmlns:xlrd2="http://schemas.microsoft.com/office/spreadsheetml/2017/richdata2" ref="S1:T315">
    <sortCondition ref="S1:S315"/>
  </sortState>
  <mergeCells count="1">
    <mergeCell ref="D7:D8"/>
  </mergeCells>
  <printOptions horizontalCentered="1" verticalCentered="1"/>
  <pageMargins left="0.45" right="0.45" top="0.5" bottom="0.5" header="0.3" footer="0.3"/>
  <pageSetup scale="85" orientation="landscape" r:id="rId1"/>
  <drawing r:id="rId2"/>
  <legacyDrawing r:id="rId3"/>
  <mc:AlternateContent xmlns:mc="http://schemas.openxmlformats.org/markup-compatibility/2006">
    <mc:Choice Requires="x14">
      <controls>
        <mc:AlternateContent xmlns:mc="http://schemas.openxmlformats.org/markup-compatibility/2006">
          <mc:Choice Requires="x14">
            <control shapeId="69633" r:id="rId4" name="Drop Down 1">
              <controlPr defaultSize="0" autoLine="0" autoPict="0">
                <anchor moveWithCells="1">
                  <from>
                    <xdr:col>2</xdr:col>
                    <xdr:colOff>59871</xdr:colOff>
                    <xdr:row>0</xdr:row>
                    <xdr:rowOff>21771</xdr:rowOff>
                  </from>
                  <to>
                    <xdr:col>3</xdr:col>
                    <xdr:colOff>560614</xdr:colOff>
                    <xdr:row>1</xdr:row>
                    <xdr:rowOff>76200</xdr:rowOff>
                  </to>
                </anchor>
              </controlPr>
            </control>
          </mc:Choice>
        </mc:AlternateContent>
      </controls>
    </mc:Choice>
  </mc:AlternateContent>
</worksheet>
</file>

<file path=xl/worksheets/sheet2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FFC832B-64DF-4F8B-82C7-99A502832501}">
  <sheetPr codeName="Sheet25"/>
  <dimension ref="A1:O16"/>
  <sheetViews>
    <sheetView workbookViewId="0">
      <selection activeCell="M34" sqref="M34"/>
    </sheetView>
  </sheetViews>
  <sheetFormatPr defaultColWidth="9.296875" defaultRowHeight="15.9"/>
  <cols>
    <col min="1" max="3" width="9.296875" style="259"/>
    <col min="4" max="4" width="24.19921875" style="259" bestFit="1" customWidth="1"/>
    <col min="5" max="5" width="57.796875" style="259" bestFit="1" customWidth="1"/>
    <col min="6" max="7" width="9.296875" style="259"/>
    <col min="9" max="9" width="37" customWidth="1"/>
    <col min="10" max="10" width="9.69921875" bestFit="1" customWidth="1"/>
    <col min="12" max="12" width="6.796875" bestFit="1" customWidth="1"/>
  </cols>
  <sheetData>
    <row r="1" spans="2:15" ht="18.45">
      <c r="B1" s="260" t="s">
        <v>240</v>
      </c>
      <c r="E1" s="250"/>
      <c r="I1" s="286" t="s">
        <v>266</v>
      </c>
      <c r="L1" s="465" t="s">
        <v>577</v>
      </c>
      <c r="M1" s="12"/>
    </row>
    <row r="2" spans="2:15">
      <c r="B2" s="259" t="s">
        <v>236</v>
      </c>
      <c r="C2" s="259" t="s">
        <v>235</v>
      </c>
      <c r="D2" s="259" t="s">
        <v>270</v>
      </c>
      <c r="E2" s="259" t="s">
        <v>237</v>
      </c>
      <c r="F2" s="259" t="s">
        <v>85</v>
      </c>
      <c r="J2" s="259"/>
      <c r="L2" s="466" t="s">
        <v>77</v>
      </c>
      <c r="M2" s="467" t="s">
        <v>262</v>
      </c>
      <c r="O2" s="322" t="s">
        <v>308</v>
      </c>
    </row>
    <row r="3" spans="2:15">
      <c r="B3" s="259" t="s">
        <v>485</v>
      </c>
      <c r="C3" s="259" t="s">
        <v>485</v>
      </c>
      <c r="D3" s="259" t="s">
        <v>268</v>
      </c>
      <c r="E3" s="259" t="s">
        <v>61</v>
      </c>
      <c r="F3" s="259">
        <v>6</v>
      </c>
      <c r="I3" s="259" t="s">
        <v>264</v>
      </c>
      <c r="J3" s="311">
        <v>375</v>
      </c>
      <c r="L3" s="466" t="s">
        <v>261</v>
      </c>
      <c r="M3" s="468" t="s">
        <v>263</v>
      </c>
    </row>
    <row r="4" spans="2:15">
      <c r="B4" s="259" t="s">
        <v>486</v>
      </c>
      <c r="C4" s="259" t="s">
        <v>486</v>
      </c>
      <c r="D4" s="259" t="s">
        <v>268</v>
      </c>
      <c r="E4" s="259" t="s">
        <v>60</v>
      </c>
      <c r="F4" s="259">
        <v>6</v>
      </c>
      <c r="I4" s="259" t="s">
        <v>265</v>
      </c>
      <c r="J4" s="311">
        <v>310</v>
      </c>
      <c r="L4" s="12" t="s">
        <v>485</v>
      </c>
      <c r="M4" s="469"/>
    </row>
    <row r="5" spans="2:15">
      <c r="B5" s="259" t="s">
        <v>487</v>
      </c>
      <c r="C5" s="259" t="s">
        <v>487</v>
      </c>
      <c r="D5" s="259" t="s">
        <v>268</v>
      </c>
      <c r="E5" s="259" t="s">
        <v>516</v>
      </c>
      <c r="F5" s="259">
        <v>6</v>
      </c>
      <c r="I5" s="259" t="s">
        <v>267</v>
      </c>
      <c r="J5" s="311">
        <v>3000</v>
      </c>
      <c r="L5" s="12" t="s">
        <v>486</v>
      </c>
      <c r="M5" s="469"/>
    </row>
    <row r="6" spans="2:15">
      <c r="B6" s="259" t="s">
        <v>488</v>
      </c>
      <c r="C6" s="259" t="s">
        <v>488</v>
      </c>
      <c r="D6" s="259" t="s">
        <v>268</v>
      </c>
      <c r="E6" s="259" t="s">
        <v>517</v>
      </c>
      <c r="F6" s="259">
        <v>6</v>
      </c>
      <c r="L6" s="12" t="s">
        <v>487</v>
      </c>
      <c r="M6" s="469"/>
    </row>
    <row r="7" spans="2:15">
      <c r="B7" s="259" t="s">
        <v>489</v>
      </c>
      <c r="C7" s="259" t="s">
        <v>489</v>
      </c>
      <c r="D7" s="259" t="s">
        <v>268</v>
      </c>
      <c r="E7" s="259" t="s">
        <v>518</v>
      </c>
      <c r="F7" s="259">
        <v>6</v>
      </c>
      <c r="L7" s="12" t="s">
        <v>488</v>
      </c>
      <c r="M7" s="469"/>
    </row>
    <row r="8" spans="2:15">
      <c r="B8" s="259" t="s">
        <v>490</v>
      </c>
      <c r="C8" s="259" t="s">
        <v>490</v>
      </c>
      <c r="D8" s="259" t="s">
        <v>268</v>
      </c>
      <c r="E8" s="259" t="s">
        <v>519</v>
      </c>
      <c r="F8" s="259">
        <v>6</v>
      </c>
      <c r="L8" s="12" t="s">
        <v>489</v>
      </c>
      <c r="M8" s="469"/>
    </row>
    <row r="9" spans="2:15">
      <c r="B9" s="259" t="s">
        <v>491</v>
      </c>
      <c r="C9" s="259" t="s">
        <v>491</v>
      </c>
      <c r="D9" s="259" t="s">
        <v>268</v>
      </c>
      <c r="E9" s="259" t="s">
        <v>524</v>
      </c>
      <c r="F9" s="259">
        <v>6</v>
      </c>
      <c r="L9" s="12" t="s">
        <v>490</v>
      </c>
      <c r="M9" s="469"/>
    </row>
    <row r="10" spans="2:15">
      <c r="B10" s="259" t="s">
        <v>492</v>
      </c>
      <c r="C10" s="259" t="s">
        <v>492</v>
      </c>
      <c r="D10" s="259" t="s">
        <v>268</v>
      </c>
      <c r="E10" s="259" t="s">
        <v>520</v>
      </c>
      <c r="F10" s="259">
        <v>6</v>
      </c>
      <c r="L10" s="12" t="s">
        <v>491</v>
      </c>
      <c r="M10" s="469"/>
    </row>
    <row r="11" spans="2:15">
      <c r="B11" s="259" t="s">
        <v>493</v>
      </c>
      <c r="C11" s="259" t="s">
        <v>493</v>
      </c>
      <c r="D11" s="259" t="s">
        <v>268</v>
      </c>
      <c r="E11" s="259" t="s">
        <v>521</v>
      </c>
      <c r="F11" s="259">
        <v>6</v>
      </c>
      <c r="L11" s="12" t="s">
        <v>492</v>
      </c>
      <c r="M11" s="469"/>
    </row>
    <row r="12" spans="2:15">
      <c r="B12" s="259" t="s">
        <v>494</v>
      </c>
      <c r="C12" s="259" t="s">
        <v>494</v>
      </c>
      <c r="D12" s="259" t="s">
        <v>268</v>
      </c>
      <c r="E12" s="259" t="s">
        <v>522</v>
      </c>
      <c r="F12" s="259">
        <v>6</v>
      </c>
      <c r="L12" s="470" t="s">
        <v>493</v>
      </c>
      <c r="M12" s="469"/>
    </row>
    <row r="13" spans="2:15">
      <c r="B13" s="259" t="s">
        <v>495</v>
      </c>
      <c r="C13" s="259" t="s">
        <v>495</v>
      </c>
      <c r="D13" s="259" t="s">
        <v>268</v>
      </c>
      <c r="E13" s="259" t="s">
        <v>523</v>
      </c>
      <c r="F13" s="259">
        <v>6</v>
      </c>
      <c r="L13" s="12" t="s">
        <v>494</v>
      </c>
      <c r="M13" s="469"/>
    </row>
    <row r="14" spans="2:15">
      <c r="L14" s="12" t="s">
        <v>495</v>
      </c>
      <c r="M14" s="469"/>
    </row>
    <row r="15" spans="2:15">
      <c r="L15" s="12"/>
      <c r="M15" s="469"/>
    </row>
    <row r="16" spans="2:15">
      <c r="L16" s="12"/>
      <c r="M16" s="469"/>
    </row>
  </sheetData>
  <sortState xmlns:xlrd2="http://schemas.microsoft.com/office/spreadsheetml/2017/richdata2" ref="L4:M16">
    <sortCondition ref="L4:L16"/>
  </sortState>
  <pageMargins left="0.7" right="0.7" top="0.75" bottom="0.75" header="0.3" footer="0.3"/>
  <pageSetup orientation="portrait" horizontalDpi="300" verticalDpi="300" r:id="rId1"/>
  <legacy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6F529D5-0525-44B5-902E-45CD46D80355}">
  <sheetPr codeName="Sheet3"/>
  <dimension ref="A1:AD52"/>
  <sheetViews>
    <sheetView topLeftCell="D1" zoomScaleNormal="100" zoomScaleSheetLayoutView="66" workbookViewId="0">
      <selection activeCell="M34" sqref="M34"/>
    </sheetView>
  </sheetViews>
  <sheetFormatPr defaultRowHeight="11.15"/>
  <cols>
    <col min="1" max="1" width="14.796875" customWidth="1"/>
    <col min="2" max="2" width="20.69921875" customWidth="1"/>
    <col min="3" max="5" width="17.19921875" customWidth="1"/>
    <col min="6" max="6" width="14.296875" bestFit="1" customWidth="1"/>
    <col min="7" max="8" width="10.69921875"/>
    <col min="9" max="9" width="20.69921875" customWidth="1"/>
    <col min="10" max="10" width="21.796875" customWidth="1"/>
    <col min="11" max="11" width="20.69921875" customWidth="1"/>
    <col min="12" max="12" width="10.69921875"/>
    <col min="13" max="13" width="14" bestFit="1" customWidth="1"/>
    <col min="14" max="14" width="20.69921875" customWidth="1"/>
    <col min="15" max="15" width="21.796875" customWidth="1"/>
    <col min="16" max="16" width="20.69921875" customWidth="1"/>
    <col min="17" max="20" width="10.69921875"/>
    <col min="21" max="21" width="20.69921875" customWidth="1"/>
    <col min="22" max="22" width="21.796875" customWidth="1"/>
    <col min="23" max="23" width="20.69921875" customWidth="1"/>
  </cols>
  <sheetData>
    <row r="1" spans="1:30" ht="12.9">
      <c r="A1" s="272" t="s">
        <v>252</v>
      </c>
      <c r="B1" s="271" t="s">
        <v>568</v>
      </c>
      <c r="C1" s="270"/>
      <c r="D1" s="270"/>
      <c r="E1" s="273" t="s">
        <v>589</v>
      </c>
      <c r="F1" s="270"/>
      <c r="G1" s="270"/>
      <c r="H1" s="272" t="s">
        <v>252</v>
      </c>
      <c r="I1" s="431" t="str">
        <f>B1</f>
        <v>PAF23D08; p.15</v>
      </c>
      <c r="J1" s="270"/>
      <c r="K1" s="270"/>
      <c r="L1" s="432" t="str">
        <f>E1</f>
        <v>PAF 2023 RM&amp;LCR</v>
      </c>
      <c r="M1" s="270"/>
      <c r="N1" s="270"/>
      <c r="O1" s="270"/>
      <c r="P1" s="270"/>
      <c r="Q1" s="270"/>
      <c r="R1" s="270"/>
      <c r="S1" s="270"/>
      <c r="T1" s="270"/>
      <c r="U1" s="270"/>
      <c r="V1" s="270"/>
      <c r="W1" s="270"/>
      <c r="X1" s="270"/>
      <c r="Y1" s="270"/>
      <c r="Z1" s="270"/>
      <c r="AA1" s="270"/>
      <c r="AB1" s="270"/>
      <c r="AC1" s="270"/>
      <c r="AD1" s="270"/>
    </row>
    <row r="2" spans="1:30" ht="12.9">
      <c r="A2" s="272" t="s">
        <v>253</v>
      </c>
      <c r="B2" s="270" t="s">
        <v>567</v>
      </c>
      <c r="C2" s="270"/>
      <c r="D2" s="270"/>
      <c r="E2" s="274">
        <v>44890</v>
      </c>
      <c r="F2" s="270"/>
      <c r="G2" s="270"/>
      <c r="H2" s="272" t="s">
        <v>253</v>
      </c>
      <c r="I2" s="270" t="s">
        <v>567</v>
      </c>
      <c r="J2" s="270"/>
      <c r="K2" s="270"/>
      <c r="L2" s="433">
        <f>+E2</f>
        <v>44890</v>
      </c>
      <c r="M2" s="270"/>
      <c r="N2" s="270"/>
      <c r="O2" s="270"/>
      <c r="P2" s="270"/>
      <c r="Q2" s="270"/>
      <c r="R2" s="270"/>
      <c r="S2" s="270"/>
      <c r="T2" s="270"/>
      <c r="U2" s="270"/>
      <c r="V2" s="270"/>
      <c r="W2" s="270"/>
      <c r="X2" s="270"/>
      <c r="Y2" s="270"/>
      <c r="Z2" s="270"/>
      <c r="AA2" s="270"/>
      <c r="AB2" s="270"/>
      <c r="AC2" s="270"/>
      <c r="AD2" s="270"/>
    </row>
    <row r="3" spans="1:30" ht="12.9">
      <c r="A3" s="270"/>
      <c r="B3" s="434"/>
      <c r="C3" s="434"/>
      <c r="D3" s="434"/>
      <c r="E3" s="435"/>
      <c r="F3" s="270"/>
      <c r="G3" s="270"/>
      <c r="H3" s="270"/>
      <c r="I3" s="270"/>
      <c r="J3" s="270"/>
      <c r="K3" s="270"/>
      <c r="L3" s="435"/>
      <c r="M3" s="270"/>
      <c r="N3" s="270"/>
      <c r="O3" s="270"/>
      <c r="P3" s="270"/>
      <c r="Q3" s="270"/>
      <c r="R3" s="270"/>
      <c r="S3" s="270"/>
      <c r="T3" s="270"/>
      <c r="U3" s="270"/>
      <c r="V3" s="270"/>
      <c r="W3" s="270"/>
      <c r="X3" s="270"/>
      <c r="Y3" s="270"/>
      <c r="Z3" s="270"/>
      <c r="AA3" s="270"/>
      <c r="AB3" s="270"/>
      <c r="AC3" s="270"/>
      <c r="AD3" s="270"/>
    </row>
    <row r="4" spans="1:30" ht="12.9">
      <c r="A4" s="270"/>
      <c r="B4" s="434"/>
      <c r="C4" s="434"/>
      <c r="D4" s="434"/>
      <c r="E4" s="434"/>
      <c r="F4" s="270"/>
      <c r="G4" s="270"/>
      <c r="H4" s="270"/>
      <c r="I4" s="270"/>
      <c r="J4" s="270"/>
      <c r="K4" s="270"/>
      <c r="L4" s="436"/>
      <c r="M4" s="270"/>
      <c r="N4" s="270"/>
      <c r="O4" s="270"/>
      <c r="P4" s="270"/>
      <c r="Q4" s="270"/>
      <c r="R4" s="270"/>
      <c r="S4" s="270"/>
      <c r="T4" s="270"/>
      <c r="U4" s="270"/>
      <c r="V4" s="270"/>
      <c r="W4" s="270"/>
      <c r="X4" s="270"/>
      <c r="Y4" s="270"/>
      <c r="Z4" s="270"/>
      <c r="AA4" s="270"/>
      <c r="AB4" s="270"/>
      <c r="AC4" s="270"/>
      <c r="AD4" s="270"/>
    </row>
    <row r="5" spans="1:30" ht="12.9">
      <c r="A5" s="437" t="s">
        <v>460</v>
      </c>
      <c r="B5" s="437"/>
      <c r="C5" s="437"/>
      <c r="D5" s="437"/>
      <c r="E5" s="437"/>
      <c r="F5" s="270"/>
      <c r="G5" s="270"/>
      <c r="H5" s="270"/>
      <c r="I5" s="270"/>
      <c r="J5" s="270"/>
      <c r="K5" s="270"/>
      <c r="L5" s="436"/>
      <c r="M5" s="270"/>
      <c r="N5" s="270"/>
      <c r="O5" s="270"/>
      <c r="P5" s="270"/>
      <c r="Q5" s="270"/>
      <c r="R5" s="270"/>
      <c r="S5" s="270"/>
      <c r="T5" s="270"/>
      <c r="U5" s="270"/>
      <c r="V5" s="270"/>
      <c r="W5" s="270"/>
      <c r="X5" s="270"/>
      <c r="Y5" s="270"/>
      <c r="Z5" s="270"/>
      <c r="AA5" s="270"/>
      <c r="AB5" s="270"/>
      <c r="AC5" s="270"/>
      <c r="AD5" s="270"/>
    </row>
    <row r="6" spans="1:30" ht="12.9">
      <c r="A6" s="437" t="s">
        <v>461</v>
      </c>
      <c r="B6" s="437"/>
      <c r="C6" s="437"/>
      <c r="D6" s="437"/>
      <c r="E6" s="437"/>
      <c r="F6" s="270"/>
      <c r="G6" s="270"/>
      <c r="H6" s="438" t="s">
        <v>462</v>
      </c>
      <c r="I6" s="439"/>
      <c r="J6" s="438"/>
      <c r="K6" s="439"/>
      <c r="L6" s="270"/>
      <c r="M6" s="270"/>
      <c r="N6" s="270"/>
      <c r="O6" s="270"/>
      <c r="P6" s="270"/>
      <c r="Q6" s="270"/>
      <c r="R6" s="270"/>
      <c r="S6" s="270"/>
      <c r="T6" s="270"/>
      <c r="U6" s="270"/>
      <c r="V6" s="270"/>
      <c r="W6" s="270"/>
      <c r="X6" s="270"/>
      <c r="Y6" s="270"/>
      <c r="Z6" s="270"/>
      <c r="AA6" s="270"/>
      <c r="AB6" s="270"/>
      <c r="AC6" s="270"/>
      <c r="AD6" s="270"/>
    </row>
    <row r="7" spans="1:30" ht="12.9">
      <c r="A7" s="270"/>
      <c r="B7" s="434"/>
      <c r="C7" s="434"/>
      <c r="D7" s="434"/>
      <c r="E7" s="434"/>
      <c r="F7" s="270"/>
      <c r="G7" s="270"/>
      <c r="H7" s="438"/>
      <c r="I7" s="439"/>
      <c r="J7" s="438"/>
      <c r="K7" s="439"/>
      <c r="L7" s="270"/>
      <c r="M7" s="270"/>
      <c r="N7" s="270"/>
      <c r="O7" s="270"/>
      <c r="P7" s="270"/>
      <c r="Q7" s="270"/>
      <c r="R7" s="270"/>
      <c r="S7" s="270"/>
      <c r="T7" s="270"/>
      <c r="U7" s="270"/>
      <c r="V7" s="270"/>
      <c r="W7" s="270"/>
      <c r="X7" s="270"/>
      <c r="Y7" s="270"/>
      <c r="Z7" s="270"/>
      <c r="AA7" s="270"/>
      <c r="AB7" s="270"/>
      <c r="AC7" s="270"/>
      <c r="AD7" s="270"/>
    </row>
    <row r="8" spans="1:30" ht="12.9">
      <c r="A8" s="270"/>
      <c r="B8" s="434"/>
      <c r="C8" s="440" t="s">
        <v>82</v>
      </c>
      <c r="D8" s="440"/>
      <c r="E8" s="440"/>
      <c r="F8" s="270"/>
      <c r="G8" s="270"/>
      <c r="H8" s="438" t="s">
        <v>463</v>
      </c>
      <c r="I8" s="439"/>
      <c r="J8" s="438"/>
      <c r="K8" s="439"/>
      <c r="L8" s="441"/>
      <c r="M8" s="270"/>
      <c r="N8" s="270"/>
      <c r="O8" s="270"/>
      <c r="P8" s="270"/>
      <c r="Q8" s="270"/>
      <c r="R8" s="270"/>
      <c r="S8" s="270"/>
      <c r="T8" s="270"/>
      <c r="U8" s="270"/>
      <c r="V8" s="270"/>
      <c r="W8" s="270"/>
      <c r="X8" s="270"/>
      <c r="Y8" s="270"/>
      <c r="Z8" s="270"/>
      <c r="AA8" s="270"/>
      <c r="AB8" s="270"/>
      <c r="AC8" s="270"/>
      <c r="AD8" s="270"/>
    </row>
    <row r="9" spans="1:30" ht="12.9">
      <c r="A9" s="270"/>
      <c r="B9" s="442" t="s">
        <v>464</v>
      </c>
      <c r="C9" s="443" t="s">
        <v>31</v>
      </c>
      <c r="D9" s="443" t="s">
        <v>119</v>
      </c>
      <c r="E9" s="443" t="s">
        <v>87</v>
      </c>
      <c r="F9" s="270"/>
      <c r="G9" s="270"/>
      <c r="H9" s="439"/>
      <c r="I9" s="439"/>
      <c r="J9" s="439"/>
      <c r="K9" s="439"/>
      <c r="L9" s="441"/>
      <c r="M9" s="270"/>
      <c r="N9" s="270"/>
      <c r="O9" s="270"/>
      <c r="P9" s="270"/>
      <c r="Q9" s="270"/>
      <c r="R9" s="270"/>
      <c r="S9" s="270"/>
      <c r="T9" s="270"/>
      <c r="U9" s="270"/>
      <c r="V9" s="270"/>
      <c r="W9" s="270"/>
      <c r="X9" s="270"/>
      <c r="Y9" s="270"/>
      <c r="Z9" s="270"/>
      <c r="AA9" s="270"/>
      <c r="AB9" s="270"/>
      <c r="AC9" s="270"/>
      <c r="AD9" s="270"/>
    </row>
    <row r="10" spans="1:30" ht="15.45">
      <c r="A10" s="270"/>
      <c r="B10" s="270"/>
      <c r="C10" s="270"/>
      <c r="D10" s="270"/>
      <c r="E10" s="270"/>
      <c r="F10" s="270"/>
      <c r="G10" s="270"/>
      <c r="H10" s="439" t="s">
        <v>465</v>
      </c>
      <c r="I10" s="439"/>
      <c r="J10" s="439"/>
      <c r="K10" s="439"/>
      <c r="L10" s="441"/>
      <c r="M10" s="270"/>
      <c r="N10" s="270"/>
      <c r="O10" s="270"/>
      <c r="P10" s="270"/>
      <c r="Q10" s="270"/>
      <c r="R10" s="270"/>
      <c r="S10" s="270"/>
      <c r="T10" s="270"/>
      <c r="U10" s="776" t="s">
        <v>466</v>
      </c>
      <c r="V10" s="776"/>
      <c r="W10" s="776"/>
      <c r="X10" s="270"/>
      <c r="Y10" s="270"/>
      <c r="Z10" s="270"/>
      <c r="AA10" s="270"/>
      <c r="AB10" s="270"/>
      <c r="AC10" s="270"/>
      <c r="AD10" s="270"/>
    </row>
    <row r="11" spans="1:30" ht="12.9">
      <c r="A11" s="434" t="s">
        <v>22</v>
      </c>
      <c r="B11" s="444">
        <v>1152661892976</v>
      </c>
      <c r="C11" s="444">
        <v>3236840099.7200279</v>
      </c>
      <c r="D11" s="444">
        <v>3949574293.496088</v>
      </c>
      <c r="E11" s="444">
        <v>845630405.13819385</v>
      </c>
      <c r="F11" s="445"/>
      <c r="G11" s="270"/>
      <c r="H11" s="446"/>
      <c r="I11" s="446"/>
      <c r="J11" s="446"/>
      <c r="K11" s="446"/>
      <c r="L11" s="441"/>
      <c r="M11" s="270"/>
      <c r="N11" s="270"/>
      <c r="O11" s="270"/>
      <c r="P11" s="270"/>
      <c r="Q11" s="270"/>
      <c r="R11" s="270"/>
      <c r="S11" s="270"/>
      <c r="T11" s="270"/>
      <c r="U11" s="270"/>
      <c r="V11" s="270"/>
      <c r="W11" s="270"/>
      <c r="X11" s="270"/>
      <c r="Y11" s="270"/>
      <c r="Z11" s="270"/>
      <c r="AA11" s="270"/>
      <c r="AB11" s="270"/>
      <c r="AC11" s="270"/>
      <c r="AD11" s="270"/>
    </row>
    <row r="12" spans="1:30" ht="12.9">
      <c r="A12" s="270"/>
      <c r="B12" s="199"/>
      <c r="C12" s="199"/>
      <c r="D12" s="199"/>
      <c r="E12" s="199"/>
      <c r="F12" s="445"/>
      <c r="G12" s="270"/>
      <c r="H12" s="446"/>
      <c r="I12" s="446"/>
      <c r="J12" s="446"/>
      <c r="K12" s="446"/>
      <c r="L12" s="441"/>
      <c r="M12" s="270"/>
      <c r="N12" s="270"/>
      <c r="O12" s="270"/>
      <c r="P12" s="270"/>
      <c r="Q12" s="270"/>
      <c r="R12" s="270"/>
      <c r="S12" s="270"/>
      <c r="T12" s="270"/>
      <c r="U12" s="270"/>
      <c r="V12" s="270"/>
      <c r="W12" s="270"/>
      <c r="X12" s="270"/>
      <c r="Y12" s="270"/>
      <c r="Z12" s="270"/>
      <c r="AA12" s="270"/>
      <c r="AB12" s="270"/>
      <c r="AC12" s="270"/>
      <c r="AD12" s="270"/>
    </row>
    <row r="13" spans="1:30" ht="12.9">
      <c r="A13" s="270"/>
      <c r="B13" s="447"/>
      <c r="C13" s="447"/>
      <c r="D13" s="447"/>
      <c r="E13" s="447"/>
      <c r="F13" s="270"/>
      <c r="G13" s="270"/>
      <c r="H13" s="446"/>
      <c r="I13" s="446"/>
      <c r="J13" s="446"/>
      <c r="K13" s="446"/>
      <c r="L13" s="441"/>
      <c r="M13" s="270"/>
      <c r="N13" s="270"/>
      <c r="O13" s="270"/>
      <c r="P13" s="270"/>
      <c r="Q13" s="270"/>
      <c r="R13" s="270"/>
      <c r="S13" s="270"/>
      <c r="T13" s="270"/>
      <c r="U13" s="270"/>
      <c r="V13" s="270"/>
      <c r="W13" s="270"/>
      <c r="X13" s="270"/>
      <c r="Y13" s="270"/>
      <c r="Z13" s="270"/>
      <c r="AA13" s="270"/>
      <c r="AB13" s="270"/>
      <c r="AC13" s="270"/>
      <c r="AD13" s="270"/>
    </row>
    <row r="14" spans="1:30" ht="12.9">
      <c r="A14" s="443" t="s">
        <v>467</v>
      </c>
      <c r="B14" s="270"/>
      <c r="C14" s="270"/>
      <c r="D14" s="270"/>
      <c r="E14" s="270"/>
      <c r="F14" s="448"/>
      <c r="G14" s="270"/>
      <c r="H14" s="446"/>
      <c r="I14" s="446"/>
      <c r="J14" s="446"/>
      <c r="K14" s="446"/>
      <c r="L14" s="441"/>
      <c r="M14" s="270"/>
      <c r="N14" s="270"/>
      <c r="O14" s="270"/>
      <c r="P14" s="270"/>
      <c r="Q14" s="270"/>
      <c r="R14" s="270"/>
      <c r="S14" s="270"/>
      <c r="T14" s="270"/>
      <c r="U14" s="270"/>
      <c r="V14" s="270"/>
      <c r="W14" s="270"/>
      <c r="X14" s="270"/>
      <c r="Y14" s="270"/>
      <c r="Z14" s="270"/>
      <c r="AA14" s="270"/>
      <c r="AB14" s="270"/>
      <c r="AC14" s="270"/>
      <c r="AD14" s="270"/>
    </row>
    <row r="15" spans="1:30" ht="12.9">
      <c r="A15" s="443" t="s">
        <v>468</v>
      </c>
      <c r="B15" s="443" t="s">
        <v>469</v>
      </c>
      <c r="C15" s="270"/>
      <c r="D15" s="270"/>
      <c r="E15" s="270"/>
      <c r="F15" s="270"/>
      <c r="G15" s="270"/>
      <c r="H15" s="446" t="s">
        <v>470</v>
      </c>
      <c r="I15" s="449"/>
      <c r="J15" s="450" t="s">
        <v>471</v>
      </c>
      <c r="K15" s="449"/>
      <c r="L15" s="441"/>
      <c r="M15" s="270"/>
      <c r="N15" s="270"/>
      <c r="O15" s="270"/>
      <c r="P15" s="270"/>
      <c r="Q15" s="270"/>
      <c r="R15" s="270"/>
      <c r="S15" s="270"/>
      <c r="T15" s="446" t="s">
        <v>470</v>
      </c>
      <c r="U15" s="449"/>
      <c r="V15" s="450" t="s">
        <v>471</v>
      </c>
      <c r="W15" s="449"/>
      <c r="X15" s="270"/>
      <c r="Y15" s="270"/>
      <c r="Z15" s="270"/>
      <c r="AA15" s="270"/>
      <c r="AB15" s="270"/>
      <c r="AC15" s="270"/>
      <c r="AD15" s="270"/>
    </row>
    <row r="16" spans="1:30" ht="12.9">
      <c r="A16" s="711">
        <v>901</v>
      </c>
      <c r="B16" s="713">
        <v>2157</v>
      </c>
      <c r="C16" s="713">
        <v>1523.4474201868957</v>
      </c>
      <c r="D16" s="444">
        <v>12290.855102824095</v>
      </c>
      <c r="E16" s="713">
        <v>24969.989952768206</v>
      </c>
      <c r="F16" s="270"/>
      <c r="G16" s="270"/>
      <c r="H16" s="446"/>
      <c r="I16" s="446"/>
      <c r="J16" s="446"/>
      <c r="K16" s="446"/>
      <c r="L16" s="441"/>
      <c r="M16" s="270"/>
      <c r="N16" s="270"/>
      <c r="O16" s="270"/>
      <c r="P16" s="270"/>
      <c r="Q16" s="270"/>
      <c r="R16" s="270"/>
      <c r="S16" s="270"/>
      <c r="T16" s="446"/>
      <c r="U16" s="446"/>
      <c r="V16" s="446"/>
      <c r="W16" s="446"/>
      <c r="X16" s="270"/>
      <c r="Y16" s="270"/>
      <c r="Z16" s="270"/>
      <c r="AA16" s="270"/>
      <c r="AB16" s="270"/>
      <c r="AC16" s="270"/>
      <c r="AD16" s="270"/>
    </row>
    <row r="17" spans="1:30" ht="12.9">
      <c r="A17" s="711">
        <v>902</v>
      </c>
      <c r="B17" s="713">
        <v>7</v>
      </c>
      <c r="C17" s="713">
        <v>8.4088620988235316E-2</v>
      </c>
      <c r="D17" s="713">
        <v>0.42644943501176469</v>
      </c>
      <c r="E17" s="713">
        <v>2.9611207248000002</v>
      </c>
      <c r="F17" s="270"/>
      <c r="G17" s="270"/>
      <c r="H17" s="446"/>
      <c r="I17" s="446"/>
      <c r="J17" s="451"/>
      <c r="K17" s="446"/>
      <c r="L17" s="441"/>
      <c r="M17" s="270"/>
      <c r="N17" s="270"/>
      <c r="O17" s="270"/>
      <c r="P17" s="270"/>
      <c r="Q17" s="270"/>
      <c r="R17" s="270"/>
      <c r="S17" s="270"/>
      <c r="T17" s="446"/>
      <c r="U17" s="446"/>
      <c r="V17" s="451"/>
      <c r="W17" s="446"/>
      <c r="X17" s="270"/>
      <c r="Y17" s="270"/>
      <c r="Z17" s="270"/>
      <c r="AA17" s="270"/>
      <c r="AB17" s="270"/>
      <c r="AC17" s="270"/>
      <c r="AD17" s="270"/>
    </row>
    <row r="18" spans="1:30" ht="12.9">
      <c r="A18" s="711">
        <v>908</v>
      </c>
      <c r="B18" s="713">
        <v>2973</v>
      </c>
      <c r="C18" s="713">
        <v>105618.95255579319</v>
      </c>
      <c r="D18" s="713">
        <v>140402.32461225678</v>
      </c>
      <c r="E18" s="713">
        <v>9783.6115755276624</v>
      </c>
      <c r="F18" s="270"/>
      <c r="G18" s="270"/>
      <c r="H18" s="446"/>
      <c r="I18" s="446"/>
      <c r="J18" s="452">
        <f>ROUND(B31/100,0)</f>
        <v>11526137454</v>
      </c>
      <c r="K18" s="446"/>
      <c r="L18" s="441"/>
      <c r="M18" s="270"/>
      <c r="N18" s="453"/>
      <c r="O18" s="453">
        <f>J18-V18</f>
        <v>10712136034</v>
      </c>
      <c r="P18" s="454"/>
      <c r="Q18" s="270"/>
      <c r="R18" s="270"/>
      <c r="S18" s="270"/>
      <c r="T18" s="446"/>
      <c r="U18" s="446"/>
      <c r="V18" s="452">
        <v>814001420</v>
      </c>
      <c r="W18" s="446"/>
      <c r="X18" s="270"/>
      <c r="Y18" s="270"/>
      <c r="Z18" s="270"/>
      <c r="AA18" s="270"/>
      <c r="AB18" s="270"/>
      <c r="AC18" s="270"/>
      <c r="AD18" s="270"/>
    </row>
    <row r="19" spans="1:30" ht="12.9">
      <c r="A19" s="711">
        <v>909</v>
      </c>
      <c r="B19" s="713">
        <v>937</v>
      </c>
      <c r="C19" s="713">
        <v>16322.357828506852</v>
      </c>
      <c r="D19" s="713">
        <v>10442.86655782679</v>
      </c>
      <c r="E19" s="713">
        <v>2866.6377727319614</v>
      </c>
      <c r="F19" s="270"/>
      <c r="G19" s="270"/>
      <c r="H19" s="446"/>
      <c r="I19" s="446"/>
      <c r="J19" s="446"/>
      <c r="K19" s="446"/>
      <c r="L19" s="441"/>
      <c r="M19" s="270"/>
      <c r="N19" s="270"/>
      <c r="O19" s="270"/>
      <c r="P19" s="270"/>
      <c r="Q19" s="270"/>
      <c r="R19" s="270"/>
      <c r="S19" s="270"/>
      <c r="T19" s="446"/>
      <c r="U19" s="446"/>
      <c r="V19" s="446"/>
      <c r="W19" s="446"/>
      <c r="X19" s="270"/>
      <c r="Y19" s="270"/>
      <c r="Z19" s="270"/>
      <c r="AA19" s="270"/>
      <c r="AB19" s="270"/>
      <c r="AC19" s="270"/>
      <c r="AD19" s="270"/>
    </row>
    <row r="20" spans="1:30" ht="12.9">
      <c r="A20" s="711">
        <v>912</v>
      </c>
      <c r="B20" s="713">
        <v>2103</v>
      </c>
      <c r="C20" s="713">
        <v>258796.44984204232</v>
      </c>
      <c r="D20" s="713">
        <v>209826.70188712742</v>
      </c>
      <c r="E20" s="713">
        <v>82420.847765854342</v>
      </c>
      <c r="F20" s="270"/>
      <c r="G20" s="270"/>
      <c r="H20" s="446"/>
      <c r="I20" s="446"/>
      <c r="J20" s="446"/>
      <c r="K20" s="446"/>
      <c r="L20" s="441"/>
      <c r="M20" s="270"/>
      <c r="N20" s="270"/>
      <c r="O20" s="270"/>
      <c r="P20" s="270"/>
      <c r="Q20" s="270"/>
      <c r="R20" s="270"/>
      <c r="S20" s="270"/>
      <c r="T20" s="446"/>
      <c r="U20" s="446"/>
      <c r="V20" s="446"/>
      <c r="W20" s="446"/>
      <c r="X20" s="270"/>
      <c r="Y20" s="270"/>
      <c r="Z20" s="270"/>
      <c r="AA20" s="270"/>
      <c r="AB20" s="270"/>
      <c r="AC20" s="270"/>
      <c r="AD20" s="270"/>
    </row>
    <row r="21" spans="1:30" ht="12.9">
      <c r="A21" s="711">
        <v>913</v>
      </c>
      <c r="B21" s="713">
        <v>5528</v>
      </c>
      <c r="C21" s="713">
        <v>346292.08404429245</v>
      </c>
      <c r="D21" s="713">
        <v>642970.60084129462</v>
      </c>
      <c r="E21" s="713">
        <v>44972.58926821762</v>
      </c>
      <c r="F21" s="270"/>
      <c r="G21" s="270"/>
      <c r="H21" s="446"/>
      <c r="I21" s="446"/>
      <c r="J21" s="446"/>
      <c r="K21" s="446"/>
      <c r="L21" s="441"/>
      <c r="M21" s="270"/>
      <c r="N21" s="270"/>
      <c r="O21" s="270"/>
      <c r="P21" s="270"/>
      <c r="Q21" s="270"/>
      <c r="R21" s="270"/>
      <c r="S21" s="270"/>
      <c r="T21" s="446"/>
      <c r="U21" s="446"/>
      <c r="V21" s="446"/>
      <c r="W21" s="446"/>
      <c r="X21" s="270"/>
      <c r="Y21" s="270"/>
      <c r="Z21" s="270"/>
      <c r="AA21" s="270"/>
      <c r="AB21" s="270"/>
      <c r="AC21" s="270"/>
      <c r="AD21" s="270"/>
    </row>
    <row r="22" spans="1:30" ht="12.9">
      <c r="A22" s="711">
        <v>982</v>
      </c>
      <c r="B22" s="713">
        <v>16537</v>
      </c>
      <c r="C22" s="713">
        <v>8371.9572636018383</v>
      </c>
      <c r="D22" s="713">
        <v>20393.542773502428</v>
      </c>
      <c r="E22" s="713">
        <v>2271.722659846138</v>
      </c>
      <c r="F22" s="270"/>
      <c r="G22" s="270"/>
      <c r="H22" s="446" t="s">
        <v>473</v>
      </c>
      <c r="I22" s="449"/>
      <c r="J22" s="450" t="s">
        <v>474</v>
      </c>
      <c r="K22" s="449"/>
      <c r="L22" s="441"/>
      <c r="M22" s="270"/>
      <c r="N22" s="270"/>
      <c r="O22" s="270"/>
      <c r="P22" s="270"/>
      <c r="Q22" s="270"/>
      <c r="R22" s="270"/>
      <c r="S22" s="270"/>
      <c r="T22" s="446" t="s">
        <v>473</v>
      </c>
      <c r="U22" s="449"/>
      <c r="V22" s="450" t="s">
        <v>474</v>
      </c>
      <c r="W22" s="449"/>
      <c r="X22" s="270"/>
      <c r="Y22" s="270"/>
      <c r="Z22" s="270"/>
      <c r="AA22" s="270"/>
      <c r="AB22" s="270"/>
      <c r="AC22" s="270"/>
      <c r="AD22" s="270"/>
    </row>
    <row r="23" spans="1:30" ht="12.9">
      <c r="A23" s="711">
        <v>993</v>
      </c>
      <c r="B23" s="713">
        <v>2014</v>
      </c>
      <c r="C23" s="713">
        <v>249419.92363255518</v>
      </c>
      <c r="D23" s="713">
        <v>325181.38869375415</v>
      </c>
      <c r="E23" s="713">
        <v>167639.06272176755</v>
      </c>
      <c r="F23" s="270"/>
      <c r="G23" s="270"/>
      <c r="H23" s="446"/>
      <c r="I23" s="451" t="s">
        <v>18</v>
      </c>
      <c r="J23" s="451" t="s">
        <v>19</v>
      </c>
      <c r="K23" s="451" t="s">
        <v>327</v>
      </c>
      <c r="L23" s="441"/>
      <c r="M23" s="270"/>
      <c r="N23" s="270"/>
      <c r="O23" s="270"/>
      <c r="P23" s="270"/>
      <c r="Q23" s="270"/>
      <c r="R23" s="270"/>
      <c r="S23" s="270"/>
      <c r="T23" s="446"/>
      <c r="U23" s="451" t="s">
        <v>18</v>
      </c>
      <c r="V23" s="451" t="s">
        <v>19</v>
      </c>
      <c r="W23" s="451" t="s">
        <v>327</v>
      </c>
      <c r="X23" s="270"/>
      <c r="Y23" s="270"/>
      <c r="Z23" s="270"/>
      <c r="AA23" s="270"/>
      <c r="AB23" s="270"/>
      <c r="AC23" s="270"/>
      <c r="AD23" s="270"/>
    </row>
    <row r="24" spans="1:30" ht="12.9">
      <c r="A24" s="711">
        <v>994</v>
      </c>
      <c r="B24" s="713">
        <v>48115305</v>
      </c>
      <c r="C24" s="713">
        <v>18440534.993168</v>
      </c>
      <c r="D24" s="713">
        <v>15205809.860252624</v>
      </c>
      <c r="E24" s="713">
        <v>7528761.7468106709</v>
      </c>
      <c r="F24" s="270"/>
      <c r="G24" s="270"/>
      <c r="H24" s="446"/>
      <c r="I24" s="446"/>
      <c r="J24" s="446"/>
      <c r="K24" s="446"/>
      <c r="L24" s="441"/>
      <c r="M24" s="270"/>
      <c r="N24" s="270"/>
      <c r="O24" s="270"/>
      <c r="P24" s="270"/>
      <c r="Q24" s="270"/>
      <c r="R24" s="270"/>
      <c r="S24" s="270"/>
      <c r="T24" s="446"/>
      <c r="U24" s="446"/>
      <c r="V24" s="446"/>
      <c r="W24" s="446"/>
      <c r="X24" s="270"/>
      <c r="Y24" s="270"/>
      <c r="Z24" s="270"/>
      <c r="AA24" s="270"/>
      <c r="AB24" s="270"/>
      <c r="AC24" s="270"/>
      <c r="AD24" s="270"/>
    </row>
    <row r="25" spans="1:30" ht="12.9">
      <c r="A25" s="711">
        <v>996</v>
      </c>
      <c r="B25" s="713">
        <v>23</v>
      </c>
      <c r="C25" s="713">
        <v>3273.3483940147553</v>
      </c>
      <c r="D25" s="713">
        <v>3473.7934113155065</v>
      </c>
      <c r="E25" s="713">
        <v>1451.0491243145389</v>
      </c>
      <c r="F25" s="270"/>
      <c r="G25" s="270"/>
      <c r="H25" s="457"/>
      <c r="I25" s="458">
        <f>+C31</f>
        <v>3217409946.1217904</v>
      </c>
      <c r="J25" s="458">
        <f>+D31</f>
        <v>3933003501.1355062</v>
      </c>
      <c r="K25" s="458">
        <f>+E31</f>
        <v>837765264.91942143</v>
      </c>
      <c r="L25" s="441"/>
      <c r="M25" s="453"/>
      <c r="N25" s="453">
        <f>I25-U25</f>
        <v>2726489329.1217904</v>
      </c>
      <c r="O25" s="453">
        <f>J25-V25</f>
        <v>3548137877.1355062</v>
      </c>
      <c r="P25" s="453">
        <f>K25-W25</f>
        <v>794464272.91942143</v>
      </c>
      <c r="Q25" s="454"/>
      <c r="R25" s="454"/>
      <c r="S25" s="270"/>
      <c r="T25" s="457"/>
      <c r="U25" s="458">
        <v>490920617</v>
      </c>
      <c r="V25" s="458">
        <v>384865624</v>
      </c>
      <c r="W25" s="458">
        <v>43300992</v>
      </c>
      <c r="X25" s="270"/>
      <c r="Y25" s="270"/>
      <c r="Z25" s="270"/>
      <c r="AA25" s="270"/>
      <c r="AB25" s="270"/>
      <c r="AC25" s="270"/>
      <c r="AD25" s="270"/>
    </row>
    <row r="26" spans="1:30" ht="12.9">
      <c r="A26" s="712">
        <v>9108</v>
      </c>
      <c r="B26" s="714">
        <v>0</v>
      </c>
      <c r="C26" s="714">
        <v>0</v>
      </c>
      <c r="D26" s="714">
        <v>0</v>
      </c>
      <c r="E26" s="714">
        <v>0</v>
      </c>
      <c r="F26" s="270"/>
      <c r="G26" s="270"/>
      <c r="H26" s="446"/>
      <c r="I26" s="446"/>
      <c r="J26" s="446"/>
      <c r="K26" s="446"/>
      <c r="L26" s="441"/>
      <c r="M26" s="270"/>
      <c r="N26" s="270"/>
      <c r="O26" s="270"/>
      <c r="P26" s="270"/>
      <c r="Q26" s="270"/>
      <c r="R26" s="270"/>
      <c r="S26" s="270"/>
      <c r="T26" s="446"/>
      <c r="U26" s="446"/>
      <c r="V26" s="446"/>
      <c r="W26" s="446"/>
      <c r="X26" s="270"/>
      <c r="Y26" s="270"/>
      <c r="Z26" s="270"/>
      <c r="AA26" s="270"/>
      <c r="AB26" s="270"/>
      <c r="AC26" s="270"/>
      <c r="AD26" s="270"/>
    </row>
    <row r="27" spans="1:30" ht="12.9">
      <c r="A27" s="434" t="s">
        <v>472</v>
      </c>
      <c r="B27" s="587">
        <f>SUM(B16:B26)</f>
        <v>48147584</v>
      </c>
      <c r="C27" s="587">
        <f>SUM(C16:C26)</f>
        <v>19430153.598237615</v>
      </c>
      <c r="D27" s="587">
        <f>SUM(D16:D26)</f>
        <v>16570792.360581962</v>
      </c>
      <c r="E27" s="587">
        <f>SUM(E16:E26)</f>
        <v>7865140.2187724235</v>
      </c>
      <c r="F27" s="270"/>
      <c r="G27" s="270"/>
      <c r="H27" s="446"/>
      <c r="I27" s="446"/>
      <c r="J27" s="446"/>
      <c r="K27" s="446"/>
      <c r="L27" s="441"/>
      <c r="M27" s="270"/>
      <c r="N27" s="270"/>
      <c r="O27" s="270"/>
      <c r="P27" s="270"/>
      <c r="Q27" s="270"/>
      <c r="R27" s="270"/>
      <c r="S27" s="270"/>
      <c r="T27" s="446"/>
      <c r="U27" s="446"/>
      <c r="V27" s="446"/>
      <c r="W27" s="446"/>
      <c r="X27" s="270"/>
      <c r="Y27" s="270"/>
      <c r="Z27" s="270"/>
      <c r="AA27" s="270"/>
      <c r="AB27" s="270"/>
      <c r="AC27" s="270"/>
      <c r="AD27" s="270"/>
    </row>
    <row r="28" spans="1:30" ht="13.3" thickBot="1">
      <c r="A28" s="455"/>
      <c r="B28" s="456"/>
      <c r="C28" s="456"/>
      <c r="D28" s="456"/>
      <c r="E28" s="456"/>
      <c r="F28" s="270"/>
      <c r="G28" s="270"/>
      <c r="H28" s="446"/>
      <c r="I28" s="446"/>
      <c r="J28" s="446"/>
      <c r="K28" s="446"/>
      <c r="L28" s="441"/>
      <c r="M28" s="270"/>
      <c r="N28" s="270"/>
      <c r="O28" s="270"/>
      <c r="P28" s="270"/>
      <c r="Q28" s="270"/>
      <c r="R28" s="270"/>
      <c r="S28" s="270"/>
      <c r="T28" s="446"/>
      <c r="U28" s="446"/>
      <c r="V28" s="446"/>
      <c r="W28" s="446"/>
      <c r="X28" s="270"/>
      <c r="Y28" s="270"/>
      <c r="Z28" s="270"/>
      <c r="AA28" s="270"/>
      <c r="AB28" s="270"/>
      <c r="AC28" s="270"/>
      <c r="AD28" s="270"/>
    </row>
    <row r="29" spans="1:30" ht="13.3" thickTop="1">
      <c r="A29" s="443" t="s">
        <v>2</v>
      </c>
      <c r="F29" s="270"/>
      <c r="G29" s="270"/>
      <c r="H29" s="446" t="s">
        <v>476</v>
      </c>
      <c r="I29" s="449"/>
      <c r="J29" s="450" t="s">
        <v>477</v>
      </c>
      <c r="K29" s="449"/>
      <c r="L29" s="441"/>
      <c r="M29" s="270"/>
      <c r="N29" s="270"/>
      <c r="O29" s="270"/>
      <c r="P29" s="270"/>
      <c r="Q29" s="270"/>
      <c r="R29" s="270"/>
      <c r="S29" s="270"/>
      <c r="T29" s="446" t="s">
        <v>476</v>
      </c>
      <c r="U29" s="449"/>
      <c r="V29" s="450" t="s">
        <v>477</v>
      </c>
      <c r="W29" s="449"/>
      <c r="X29" s="270"/>
      <c r="Y29" s="270"/>
      <c r="Z29" s="270"/>
      <c r="AA29" s="270"/>
      <c r="AB29" s="270"/>
      <c r="AC29" s="270"/>
      <c r="AD29" s="270"/>
    </row>
    <row r="30" spans="1:30" ht="12.9">
      <c r="A30" s="443" t="s">
        <v>468</v>
      </c>
      <c r="B30" s="270"/>
      <c r="C30" s="270"/>
      <c r="D30" s="270"/>
      <c r="E30" s="270"/>
      <c r="G30" s="270"/>
      <c r="H30" s="446"/>
      <c r="I30" s="451" t="s">
        <v>18</v>
      </c>
      <c r="J30" s="451" t="s">
        <v>19</v>
      </c>
      <c r="K30" s="451" t="s">
        <v>327</v>
      </c>
      <c r="L30" s="441"/>
      <c r="M30" s="270"/>
      <c r="N30" s="270"/>
      <c r="O30" s="270"/>
      <c r="P30" s="270"/>
      <c r="Q30" s="270"/>
      <c r="R30" s="270"/>
      <c r="S30" s="270"/>
      <c r="T30" s="446"/>
      <c r="U30" s="451" t="s">
        <v>18</v>
      </c>
      <c r="V30" s="451" t="s">
        <v>19</v>
      </c>
      <c r="W30" s="451" t="s">
        <v>327</v>
      </c>
      <c r="X30" s="270"/>
      <c r="Y30" s="270"/>
      <c r="Z30" s="270"/>
      <c r="AA30" s="270"/>
      <c r="AB30" s="270"/>
      <c r="AC30" s="270"/>
      <c r="AD30" s="270"/>
    </row>
    <row r="31" spans="1:30" ht="12.9">
      <c r="A31" s="443" t="s">
        <v>475</v>
      </c>
      <c r="B31" s="587">
        <f>B11-B27</f>
        <v>1152613745392</v>
      </c>
      <c r="C31" s="587">
        <f>C11-C27</f>
        <v>3217409946.1217904</v>
      </c>
      <c r="D31" s="587">
        <f>D11-D27</f>
        <v>3933003501.1355062</v>
      </c>
      <c r="E31" s="587">
        <f>E11-E27</f>
        <v>837765264.91942143</v>
      </c>
      <c r="G31" s="270"/>
      <c r="H31" s="446"/>
      <c r="I31" s="459"/>
      <c r="J31" s="459"/>
      <c r="K31" s="459"/>
      <c r="L31" s="441"/>
      <c r="M31" s="270"/>
      <c r="N31" s="270"/>
      <c r="O31" s="270"/>
      <c r="P31" s="270"/>
      <c r="Q31" s="270"/>
      <c r="R31" s="270"/>
      <c r="S31" s="270"/>
      <c r="T31" s="446"/>
      <c r="U31" s="459"/>
      <c r="V31" s="459"/>
      <c r="W31" s="459"/>
      <c r="X31" s="270"/>
      <c r="Y31" s="270"/>
      <c r="Z31" s="270"/>
      <c r="AA31" s="270"/>
      <c r="AB31" s="270"/>
      <c r="AC31" s="270"/>
      <c r="AD31" s="270"/>
    </row>
    <row r="32" spans="1:30" ht="12.9">
      <c r="A32" s="270"/>
      <c r="B32" s="270"/>
      <c r="C32" s="270"/>
      <c r="D32" s="270"/>
      <c r="E32" s="270"/>
      <c r="G32" s="270"/>
      <c r="H32" s="446"/>
      <c r="I32" s="460">
        <f>ROUND($J18/I25,4)</f>
        <v>3.5823999999999998</v>
      </c>
      <c r="J32" s="460">
        <f>ROUND($J18/J25,4)</f>
        <v>2.9306000000000001</v>
      </c>
      <c r="K32" s="460">
        <f>ROUND($J18/K25,4)</f>
        <v>13.7582</v>
      </c>
      <c r="L32" s="441"/>
      <c r="M32" s="461"/>
      <c r="N32" s="462">
        <f>I32-U32</f>
        <v>1.9242999999999999</v>
      </c>
      <c r="O32" s="462">
        <f>J32-V32</f>
        <v>0.81559999999999988</v>
      </c>
      <c r="P32" s="462">
        <f>K32-W32</f>
        <v>-5.0404999999999998</v>
      </c>
      <c r="Q32" s="441"/>
      <c r="R32" s="441"/>
      <c r="S32" s="270"/>
      <c r="T32" s="446"/>
      <c r="U32" s="460">
        <v>1.6580999999999999</v>
      </c>
      <c r="V32" s="460">
        <v>2.1150000000000002</v>
      </c>
      <c r="W32" s="460">
        <v>18.7987</v>
      </c>
      <c r="X32" s="270"/>
      <c r="Y32" s="270"/>
      <c r="Z32" s="270"/>
      <c r="AA32" s="270"/>
      <c r="AB32" s="270"/>
      <c r="AC32" s="270"/>
      <c r="AD32" s="270"/>
    </row>
    <row r="33" spans="1:30" ht="12.9">
      <c r="A33" s="270"/>
      <c r="B33" s="270"/>
      <c r="C33" s="270"/>
      <c r="D33" s="270"/>
      <c r="E33" s="270"/>
      <c r="G33" s="270"/>
      <c r="H33" s="270"/>
      <c r="I33" s="270"/>
      <c r="J33" s="270"/>
      <c r="K33" s="270"/>
      <c r="L33" s="441"/>
      <c r="M33" s="270"/>
      <c r="N33" s="270"/>
      <c r="O33" s="270"/>
      <c r="P33" s="270"/>
      <c r="Q33" s="270"/>
      <c r="R33" s="270"/>
      <c r="S33" s="270"/>
      <c r="T33" s="270"/>
      <c r="U33" s="270"/>
      <c r="V33" s="270"/>
      <c r="W33" s="270"/>
      <c r="X33" s="270"/>
      <c r="Y33" s="270"/>
      <c r="Z33" s="270"/>
      <c r="AA33" s="270"/>
      <c r="AB33" s="270"/>
      <c r="AC33" s="270"/>
      <c r="AD33" s="270"/>
    </row>
    <row r="34" spans="1:30" ht="12.9">
      <c r="A34" s="270"/>
      <c r="B34" s="270"/>
      <c r="C34" s="270"/>
      <c r="D34" s="270"/>
      <c r="E34" s="270"/>
      <c r="G34" s="270"/>
      <c r="H34" s="270"/>
      <c r="I34" s="270"/>
      <c r="J34" s="270"/>
      <c r="K34" s="270"/>
      <c r="L34" s="441"/>
      <c r="M34" s="270"/>
      <c r="N34" s="270"/>
      <c r="O34" s="270"/>
      <c r="P34" s="270"/>
      <c r="Q34" s="270"/>
      <c r="R34" s="270"/>
      <c r="S34" s="270"/>
      <c r="T34" s="270"/>
      <c r="U34" s="270"/>
      <c r="V34" s="270"/>
      <c r="W34" s="270"/>
      <c r="X34" s="270"/>
      <c r="Y34" s="270"/>
      <c r="Z34" s="270"/>
      <c r="AA34" s="270"/>
      <c r="AB34" s="270"/>
      <c r="AC34" s="270"/>
      <c r="AD34" s="270"/>
    </row>
    <row r="35" spans="1:30" ht="12.9">
      <c r="A35" s="270"/>
      <c r="B35" s="270"/>
      <c r="C35" s="270"/>
      <c r="D35" s="270"/>
      <c r="E35" s="270"/>
      <c r="G35" s="270"/>
      <c r="H35" s="270"/>
      <c r="I35" s="270"/>
      <c r="J35" s="270"/>
      <c r="K35" s="270"/>
      <c r="L35" s="441"/>
      <c r="M35" s="270"/>
      <c r="N35" s="270"/>
      <c r="O35" s="270"/>
      <c r="P35" s="270"/>
      <c r="Q35" s="270"/>
      <c r="R35" s="270"/>
      <c r="S35" s="270"/>
      <c r="T35" s="270"/>
      <c r="U35" s="270"/>
      <c r="V35" s="270"/>
      <c r="W35" s="270"/>
      <c r="X35" s="270"/>
      <c r="Y35" s="270"/>
      <c r="Z35" s="270"/>
      <c r="AA35" s="270"/>
      <c r="AB35" s="270"/>
      <c r="AC35" s="270"/>
      <c r="AD35" s="270"/>
    </row>
    <row r="36" spans="1:30" ht="12.9">
      <c r="A36" s="270"/>
      <c r="G36" s="270"/>
      <c r="L36" s="441"/>
      <c r="M36" s="270"/>
      <c r="N36" s="270"/>
      <c r="O36" s="270"/>
      <c r="P36" s="270"/>
      <c r="Q36" s="270"/>
      <c r="R36" s="270"/>
      <c r="S36" s="270"/>
      <c r="T36" s="270"/>
      <c r="U36" s="270"/>
      <c r="V36" s="270"/>
      <c r="W36" s="270"/>
      <c r="X36" s="270"/>
      <c r="Y36" s="270"/>
      <c r="Z36" s="270"/>
      <c r="AA36" s="270"/>
      <c r="AB36" s="270"/>
      <c r="AC36" s="270"/>
      <c r="AD36" s="270"/>
    </row>
    <row r="37" spans="1:30" ht="12.9">
      <c r="A37" s="270"/>
      <c r="G37" s="270"/>
      <c r="L37" s="441"/>
      <c r="M37" s="270"/>
      <c r="N37" s="270"/>
      <c r="O37" s="270"/>
      <c r="P37" s="270"/>
      <c r="Q37" s="270"/>
      <c r="R37" s="270"/>
      <c r="S37" s="270"/>
      <c r="T37" s="270"/>
      <c r="U37" s="270"/>
      <c r="V37" s="270"/>
      <c r="W37" s="270"/>
      <c r="X37" s="270"/>
      <c r="Y37" s="270"/>
      <c r="Z37" s="270"/>
      <c r="AA37" s="270"/>
      <c r="AB37" s="270"/>
      <c r="AC37" s="270"/>
      <c r="AD37" s="270"/>
    </row>
    <row r="38" spans="1:30" ht="12.9">
      <c r="A38" s="270"/>
      <c r="G38" s="270"/>
      <c r="L38" s="441"/>
      <c r="M38" s="270"/>
      <c r="N38" s="270"/>
      <c r="O38" s="270"/>
      <c r="P38" s="270"/>
      <c r="Q38" s="270"/>
      <c r="R38" s="270"/>
      <c r="S38" s="270"/>
      <c r="T38" s="270"/>
      <c r="U38" s="270"/>
      <c r="V38" s="270"/>
      <c r="W38" s="270"/>
      <c r="X38" s="270"/>
      <c r="Y38" s="270"/>
      <c r="Z38" s="270"/>
      <c r="AA38" s="270"/>
      <c r="AB38" s="270"/>
      <c r="AC38" s="270"/>
      <c r="AD38" s="270"/>
    </row>
    <row r="39" spans="1:30" ht="12.9">
      <c r="A39" s="270"/>
      <c r="G39" s="270"/>
      <c r="L39" s="441"/>
      <c r="M39" s="270"/>
      <c r="N39" s="270"/>
      <c r="O39" s="270"/>
      <c r="P39" s="270"/>
      <c r="Q39" s="270"/>
      <c r="R39" s="270"/>
      <c r="S39" s="270"/>
      <c r="T39" s="270"/>
      <c r="U39" s="270"/>
      <c r="V39" s="270"/>
      <c r="W39" s="270"/>
      <c r="X39" s="270"/>
      <c r="Y39" s="270"/>
      <c r="Z39" s="270"/>
      <c r="AA39" s="270"/>
      <c r="AB39" s="270"/>
      <c r="AC39" s="270"/>
      <c r="AD39" s="270"/>
    </row>
    <row r="40" spans="1:30" ht="12.9">
      <c r="A40" s="270"/>
      <c r="G40" s="270"/>
      <c r="L40" s="441"/>
      <c r="M40" s="270"/>
      <c r="N40" s="270"/>
      <c r="O40" s="270"/>
      <c r="P40" s="270"/>
      <c r="Q40" s="270"/>
      <c r="R40" s="270"/>
      <c r="S40" s="270"/>
      <c r="T40" s="270"/>
      <c r="U40" s="270"/>
      <c r="V40" s="270"/>
      <c r="W40" s="270"/>
      <c r="X40" s="270"/>
      <c r="Y40" s="270"/>
      <c r="Z40" s="270"/>
      <c r="AA40" s="270"/>
      <c r="AB40" s="270"/>
      <c r="AC40" s="270"/>
      <c r="AD40" s="270"/>
    </row>
    <row r="41" spans="1:30" ht="12.9">
      <c r="A41" s="270"/>
      <c r="G41" s="270"/>
      <c r="L41" s="270"/>
      <c r="M41" s="270"/>
      <c r="N41" s="270"/>
      <c r="O41" s="270"/>
      <c r="P41" s="270"/>
      <c r="Q41" s="270"/>
      <c r="R41" s="270"/>
      <c r="S41" s="270"/>
      <c r="T41" s="270"/>
      <c r="U41" s="270"/>
      <c r="V41" s="270"/>
      <c r="W41" s="270"/>
      <c r="X41" s="270"/>
      <c r="Y41" s="270"/>
      <c r="Z41" s="270"/>
      <c r="AA41" s="270"/>
      <c r="AB41" s="270"/>
      <c r="AC41" s="270"/>
      <c r="AD41" s="270"/>
    </row>
    <row r="42" spans="1:30" ht="12.9">
      <c r="A42" s="270"/>
      <c r="G42" s="270"/>
      <c r="L42" s="441"/>
      <c r="M42" s="270"/>
      <c r="N42" s="270"/>
      <c r="O42" s="270"/>
      <c r="P42" s="270"/>
      <c r="Q42" s="270"/>
      <c r="R42" s="270"/>
      <c r="S42" s="270"/>
      <c r="T42" s="270"/>
      <c r="U42" s="270"/>
      <c r="V42" s="270"/>
      <c r="W42" s="270"/>
      <c r="X42" s="270"/>
      <c r="Y42" s="270"/>
      <c r="Z42" s="270"/>
      <c r="AA42" s="270"/>
      <c r="AB42" s="270"/>
      <c r="AC42" s="270"/>
      <c r="AD42" s="270"/>
    </row>
    <row r="43" spans="1:30" ht="12.9">
      <c r="A43" s="270"/>
      <c r="G43" s="270"/>
      <c r="L43" s="270"/>
      <c r="M43" s="270"/>
      <c r="N43" s="270"/>
      <c r="O43" s="270"/>
      <c r="P43" s="270"/>
      <c r="Q43" s="270"/>
      <c r="R43" s="270"/>
      <c r="S43" s="270"/>
      <c r="T43" s="270"/>
      <c r="U43" s="270"/>
      <c r="V43" s="270"/>
      <c r="W43" s="270"/>
      <c r="X43" s="270"/>
      <c r="Y43" s="270"/>
      <c r="Z43" s="270"/>
      <c r="AA43" s="270"/>
      <c r="AB43" s="270"/>
      <c r="AC43" s="270"/>
      <c r="AD43" s="270"/>
    </row>
    <row r="44" spans="1:30" ht="12.9">
      <c r="A44" s="270"/>
      <c r="G44" s="270"/>
      <c r="L44" s="270"/>
      <c r="M44" s="270"/>
      <c r="N44" s="270"/>
      <c r="O44" s="270"/>
      <c r="P44" s="270"/>
      <c r="Q44" s="270"/>
      <c r="R44" s="270"/>
      <c r="S44" s="270"/>
      <c r="T44" s="270"/>
      <c r="U44" s="270"/>
      <c r="V44" s="270"/>
      <c r="W44" s="270"/>
      <c r="X44" s="270"/>
      <c r="Y44" s="270"/>
      <c r="Z44" s="270"/>
      <c r="AA44" s="270"/>
      <c r="AB44" s="270"/>
      <c r="AC44" s="270"/>
      <c r="AD44" s="270"/>
    </row>
    <row r="45" spans="1:30" ht="12.9">
      <c r="A45" s="270"/>
      <c r="G45" s="270"/>
      <c r="L45" s="436"/>
      <c r="M45" s="270"/>
      <c r="N45" s="270"/>
      <c r="O45" s="270"/>
      <c r="P45" s="270"/>
      <c r="Q45" s="270"/>
      <c r="R45" s="270"/>
      <c r="S45" s="270"/>
      <c r="T45" s="270"/>
      <c r="U45" s="270"/>
      <c r="V45" s="270"/>
      <c r="W45" s="270"/>
      <c r="X45" s="270"/>
      <c r="Y45" s="270"/>
      <c r="Z45" s="270"/>
      <c r="AA45" s="270"/>
      <c r="AB45" s="270"/>
      <c r="AC45" s="270"/>
      <c r="AD45" s="270"/>
    </row>
    <row r="46" spans="1:30" ht="12.9">
      <c r="A46" s="270"/>
    </row>
    <row r="47" spans="1:30" ht="12.9">
      <c r="A47" s="270"/>
    </row>
    <row r="48" spans="1:30" ht="12.9">
      <c r="A48" s="270"/>
    </row>
    <row r="49" spans="1:8" ht="12.9">
      <c r="A49" s="270"/>
    </row>
    <row r="50" spans="1:8" ht="12.9">
      <c r="A50" s="270"/>
    </row>
    <row r="51" spans="1:8" ht="12.9">
      <c r="A51" s="270"/>
    </row>
    <row r="52" spans="1:8">
      <c r="H52" t="s">
        <v>484</v>
      </c>
    </row>
  </sheetData>
  <mergeCells count="1">
    <mergeCell ref="U10:W10"/>
  </mergeCells>
  <printOptions horizontalCentered="1"/>
  <pageMargins left="0.25" right="0.25" top="0.75" bottom="0.75" header="0.3" footer="0.3"/>
  <pageSetup orientation="portrait" blackAndWhite="1" r:id="rId1"/>
  <legacy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B360318-91D0-423B-AB2E-2B2F106D047A}">
  <sheetPr codeName="Sheet4">
    <tabColor rgb="FFFF0000"/>
  </sheetPr>
  <dimension ref="A1:Q61"/>
  <sheetViews>
    <sheetView workbookViewId="0">
      <pane xSplit="4" ySplit="1" topLeftCell="K2" activePane="bottomRight" state="frozen"/>
      <selection activeCell="M34" sqref="M34"/>
      <selection pane="topRight" activeCell="M34" sqref="M34"/>
      <selection pane="bottomLeft" activeCell="M34" sqref="M34"/>
      <selection pane="bottomRight" activeCell="M34" sqref="M34"/>
    </sheetView>
  </sheetViews>
  <sheetFormatPr defaultColWidth="9.296875" defaultRowHeight="12.45"/>
  <cols>
    <col min="1" max="1" width="10.796875" style="193" customWidth="1"/>
    <col min="2" max="2" width="15.296875" style="291" bestFit="1" customWidth="1"/>
    <col min="3" max="3" width="13.796875" style="291" bestFit="1" customWidth="1"/>
    <col min="4" max="4" width="33" style="291" customWidth="1"/>
    <col min="5" max="5" width="18.5" style="291" bestFit="1" customWidth="1"/>
    <col min="6" max="6" width="6.5" style="193" customWidth="1"/>
    <col min="7" max="7" width="14.796875" style="292" bestFit="1" customWidth="1"/>
    <col min="8" max="8" width="9.796875" style="193" bestFit="1" customWidth="1"/>
    <col min="9" max="9" width="15" style="193" customWidth="1"/>
    <col min="10" max="10" width="9.296875" style="193"/>
    <col min="11" max="11" width="16.296875" style="193" bestFit="1" customWidth="1"/>
    <col min="12" max="12" width="18" style="193" bestFit="1" customWidth="1"/>
    <col min="13" max="16" width="8" style="193" bestFit="1" customWidth="1"/>
    <col min="17" max="17" width="12.69921875" style="193" bestFit="1" customWidth="1"/>
    <col min="18" max="16384" width="9.296875" style="193"/>
  </cols>
  <sheetData>
    <row r="1" spans="1:17">
      <c r="A1" s="290"/>
      <c r="B1" s="291" t="s">
        <v>207</v>
      </c>
      <c r="C1" s="291" t="s">
        <v>208</v>
      </c>
      <c r="D1" s="291" t="s">
        <v>209</v>
      </c>
      <c r="E1" s="291" t="s">
        <v>210</v>
      </c>
      <c r="F1" s="193" t="s">
        <v>72</v>
      </c>
      <c r="G1" s="292" t="s">
        <v>211</v>
      </c>
      <c r="H1" s="193" t="s">
        <v>272</v>
      </c>
      <c r="I1" s="193" t="s">
        <v>71</v>
      </c>
      <c r="K1" s="296" t="s">
        <v>274</v>
      </c>
    </row>
    <row r="2" spans="1:17" ht="12.9">
      <c r="A2" s="290" t="str">
        <f>I2&amp;F2</f>
        <v>6824F2015</v>
      </c>
      <c r="B2" s="291" t="s">
        <v>578</v>
      </c>
      <c r="C2" s="295" t="s">
        <v>590</v>
      </c>
      <c r="D2" s="291" t="s">
        <v>591</v>
      </c>
      <c r="E2" s="291" t="s">
        <v>228</v>
      </c>
      <c r="F2" s="193">
        <v>2015</v>
      </c>
      <c r="G2" s="293">
        <v>51058</v>
      </c>
      <c r="H2" s="294">
        <f>+IF(E2="PAY",ROUND(G2/1000,0),G2)</f>
        <v>51</v>
      </c>
      <c r="I2" s="193" t="str">
        <f>C2&amp;"F"</f>
        <v>6824F</v>
      </c>
      <c r="K2" s="90" t="s">
        <v>210</v>
      </c>
      <c r="L2" t="s">
        <v>228</v>
      </c>
    </row>
    <row r="3" spans="1:17">
      <c r="A3" s="290" t="str">
        <f t="shared" ref="A3:A61" si="0">I3&amp;F3</f>
        <v>6826F2015</v>
      </c>
      <c r="B3" s="291" t="s">
        <v>578</v>
      </c>
      <c r="C3" s="295" t="s">
        <v>592</v>
      </c>
      <c r="D3" s="291" t="s">
        <v>593</v>
      </c>
      <c r="E3" s="291" t="s">
        <v>228</v>
      </c>
      <c r="F3" s="193">
        <v>2015</v>
      </c>
      <c r="G3" s="293">
        <v>28606</v>
      </c>
      <c r="H3" s="294">
        <f t="shared" ref="H3:H61" si="1">+IF(E3="PAY",ROUND(G3/1000,0),G3)</f>
        <v>29</v>
      </c>
      <c r="I3" s="193" t="str">
        <f t="shared" ref="I3:I61" si="2">C3&amp;"F"</f>
        <v>6826F</v>
      </c>
    </row>
    <row r="4" spans="1:17" ht="12.9">
      <c r="A4" s="290" t="str">
        <f t="shared" si="0"/>
        <v>6843F2015</v>
      </c>
      <c r="B4" s="291" t="s">
        <v>578</v>
      </c>
      <c r="C4" s="295" t="s">
        <v>594</v>
      </c>
      <c r="D4" s="291" t="s">
        <v>595</v>
      </c>
      <c r="E4" s="291" t="s">
        <v>228</v>
      </c>
      <c r="F4" s="193">
        <v>2015</v>
      </c>
      <c r="G4" s="293">
        <v>12970727</v>
      </c>
      <c r="H4" s="294">
        <f t="shared" si="1"/>
        <v>12971</v>
      </c>
      <c r="I4" s="193" t="str">
        <f t="shared" si="2"/>
        <v>6843F</v>
      </c>
      <c r="K4" s="90" t="s">
        <v>273</v>
      </c>
      <c r="L4" s="90" t="s">
        <v>269</v>
      </c>
      <c r="M4"/>
      <c r="N4"/>
      <c r="O4"/>
      <c r="P4"/>
      <c r="Q4"/>
    </row>
    <row r="5" spans="1:17" ht="12.9">
      <c r="A5" s="290" t="str">
        <f t="shared" si="0"/>
        <v>6872F2015</v>
      </c>
      <c r="B5" s="291" t="s">
        <v>578</v>
      </c>
      <c r="C5" s="295" t="s">
        <v>596</v>
      </c>
      <c r="D5" s="291" t="s">
        <v>597</v>
      </c>
      <c r="E5" s="291" t="s">
        <v>228</v>
      </c>
      <c r="F5" s="193">
        <v>2015</v>
      </c>
      <c r="G5" s="293">
        <v>157960</v>
      </c>
      <c r="H5" s="294">
        <f t="shared" si="1"/>
        <v>158</v>
      </c>
      <c r="I5" s="193" t="str">
        <f t="shared" si="2"/>
        <v>6872F</v>
      </c>
      <c r="K5" s="90" t="s">
        <v>161</v>
      </c>
      <c r="L5">
        <v>2015</v>
      </c>
      <c r="M5">
        <v>2016</v>
      </c>
      <c r="N5">
        <v>2017</v>
      </c>
      <c r="O5">
        <v>2018</v>
      </c>
      <c r="P5">
        <v>2019</v>
      </c>
      <c r="Q5" t="s">
        <v>158</v>
      </c>
    </row>
    <row r="6" spans="1:17" ht="12.9">
      <c r="A6" s="290" t="str">
        <f t="shared" si="0"/>
        <v>7309F2015</v>
      </c>
      <c r="B6" s="291" t="s">
        <v>578</v>
      </c>
      <c r="C6" s="295" t="s">
        <v>598</v>
      </c>
      <c r="D6" s="291" t="s">
        <v>599</v>
      </c>
      <c r="E6" s="291" t="s">
        <v>228</v>
      </c>
      <c r="F6" s="193">
        <v>2015</v>
      </c>
      <c r="G6" s="293">
        <v>8605509</v>
      </c>
      <c r="H6" s="294">
        <f t="shared" si="1"/>
        <v>8606</v>
      </c>
      <c r="I6" s="193" t="str">
        <f t="shared" si="2"/>
        <v>7309F</v>
      </c>
      <c r="K6" s="91" t="s">
        <v>485</v>
      </c>
      <c r="L6">
        <v>51</v>
      </c>
      <c r="M6">
        <v>4</v>
      </c>
      <c r="N6">
        <v>31</v>
      </c>
      <c r="O6">
        <v>40</v>
      </c>
      <c r="P6">
        <v>52</v>
      </c>
      <c r="Q6">
        <v>178</v>
      </c>
    </row>
    <row r="7" spans="1:17" ht="12.9">
      <c r="A7" s="290" t="str">
        <f t="shared" si="0"/>
        <v>7313F2015</v>
      </c>
      <c r="B7" s="291" t="s">
        <v>578</v>
      </c>
      <c r="C7" s="295" t="s">
        <v>600</v>
      </c>
      <c r="D7" s="291" t="s">
        <v>601</v>
      </c>
      <c r="E7" s="291" t="s">
        <v>228</v>
      </c>
      <c r="F7" s="193">
        <v>2015</v>
      </c>
      <c r="G7" s="293">
        <v>12613564</v>
      </c>
      <c r="H7" s="294">
        <f t="shared" si="1"/>
        <v>12614</v>
      </c>
      <c r="I7" s="193" t="str">
        <f t="shared" si="2"/>
        <v>7313F</v>
      </c>
      <c r="K7" s="91" t="s">
        <v>486</v>
      </c>
      <c r="L7">
        <v>29</v>
      </c>
      <c r="M7">
        <v>49</v>
      </c>
      <c r="N7">
        <v>52</v>
      </c>
      <c r="O7">
        <v>40</v>
      </c>
      <c r="P7">
        <v>35</v>
      </c>
      <c r="Q7">
        <v>205</v>
      </c>
    </row>
    <row r="8" spans="1:17" ht="12.9">
      <c r="A8" s="290" t="str">
        <f t="shared" si="0"/>
        <v>7317F2015</v>
      </c>
      <c r="B8" s="291" t="s">
        <v>578</v>
      </c>
      <c r="C8" s="295" t="s">
        <v>602</v>
      </c>
      <c r="D8" s="291" t="s">
        <v>603</v>
      </c>
      <c r="E8" s="291" t="s">
        <v>228</v>
      </c>
      <c r="F8" s="193">
        <v>2015</v>
      </c>
      <c r="G8" s="293">
        <v>1592160</v>
      </c>
      <c r="H8" s="294">
        <f t="shared" si="1"/>
        <v>1592</v>
      </c>
      <c r="I8" s="193" t="str">
        <f t="shared" si="2"/>
        <v>7317F</v>
      </c>
      <c r="K8" s="91" t="s">
        <v>487</v>
      </c>
      <c r="L8">
        <v>12971</v>
      </c>
      <c r="M8">
        <v>22588</v>
      </c>
      <c r="N8">
        <v>19849</v>
      </c>
      <c r="O8">
        <v>123</v>
      </c>
      <c r="P8">
        <v>96</v>
      </c>
      <c r="Q8">
        <v>55627</v>
      </c>
    </row>
    <row r="9" spans="1:17" ht="12.9">
      <c r="A9" s="290" t="str">
        <f t="shared" si="0"/>
        <v>7327F2015</v>
      </c>
      <c r="B9" s="291" t="s">
        <v>578</v>
      </c>
      <c r="C9" s="295" t="s">
        <v>604</v>
      </c>
      <c r="D9" s="291" t="s">
        <v>605</v>
      </c>
      <c r="E9" s="291" t="s">
        <v>228</v>
      </c>
      <c r="F9" s="193">
        <v>2015</v>
      </c>
      <c r="G9" s="293">
        <v>7017349</v>
      </c>
      <c r="H9" s="294">
        <f t="shared" si="1"/>
        <v>7017</v>
      </c>
      <c r="I9" s="193" t="str">
        <f t="shared" si="2"/>
        <v>7327F</v>
      </c>
      <c r="K9" s="91" t="s">
        <v>488</v>
      </c>
      <c r="L9">
        <v>158</v>
      </c>
      <c r="M9">
        <v>43</v>
      </c>
      <c r="N9">
        <v>271</v>
      </c>
      <c r="O9">
        <v>83</v>
      </c>
      <c r="P9">
        <v>132</v>
      </c>
      <c r="Q9">
        <v>687</v>
      </c>
    </row>
    <row r="10" spans="1:17" ht="12.9">
      <c r="A10" s="290" t="str">
        <f t="shared" si="0"/>
        <v>7366F2015</v>
      </c>
      <c r="B10" s="291" t="s">
        <v>578</v>
      </c>
      <c r="C10" s="295" t="s">
        <v>606</v>
      </c>
      <c r="D10" s="291" t="s">
        <v>607</v>
      </c>
      <c r="E10" s="291" t="s">
        <v>228</v>
      </c>
      <c r="F10" s="193">
        <v>2015</v>
      </c>
      <c r="G10" s="293">
        <v>18115182</v>
      </c>
      <c r="H10" s="294">
        <f t="shared" si="1"/>
        <v>18115</v>
      </c>
      <c r="I10" s="193" t="str">
        <f t="shared" si="2"/>
        <v>7366F</v>
      </c>
      <c r="K10" s="91" t="s">
        <v>489</v>
      </c>
      <c r="L10">
        <v>8606</v>
      </c>
      <c r="M10">
        <v>9158</v>
      </c>
      <c r="N10">
        <v>8549</v>
      </c>
      <c r="O10">
        <v>8033</v>
      </c>
      <c r="P10">
        <v>8679</v>
      </c>
      <c r="Q10">
        <v>43025</v>
      </c>
    </row>
    <row r="11" spans="1:17" ht="12.9">
      <c r="A11" s="290" t="str">
        <f t="shared" si="0"/>
        <v>8709F2015</v>
      </c>
      <c r="B11" s="291" t="s">
        <v>578</v>
      </c>
      <c r="C11" s="295" t="s">
        <v>608</v>
      </c>
      <c r="D11" s="291" t="s">
        <v>609</v>
      </c>
      <c r="E11" s="291" t="s">
        <v>228</v>
      </c>
      <c r="F11" s="193">
        <v>2015</v>
      </c>
      <c r="G11" s="293">
        <v>4690800</v>
      </c>
      <c r="H11" s="294">
        <f t="shared" si="1"/>
        <v>4691</v>
      </c>
      <c r="I11" s="193" t="str">
        <f t="shared" si="2"/>
        <v>8709F</v>
      </c>
      <c r="K11" s="91" t="s">
        <v>490</v>
      </c>
      <c r="L11">
        <v>12614</v>
      </c>
      <c r="M11">
        <v>9485</v>
      </c>
      <c r="N11">
        <v>14499</v>
      </c>
      <c r="O11">
        <v>12228</v>
      </c>
      <c r="P11">
        <v>8897</v>
      </c>
      <c r="Q11">
        <v>57723</v>
      </c>
    </row>
    <row r="12" spans="1:17" ht="12.9">
      <c r="A12" s="290" t="str">
        <f t="shared" si="0"/>
        <v>8726F2015</v>
      </c>
      <c r="B12" s="291" t="s">
        <v>578</v>
      </c>
      <c r="C12" s="295" t="s">
        <v>610</v>
      </c>
      <c r="D12" s="291" t="s">
        <v>611</v>
      </c>
      <c r="E12" s="291" t="s">
        <v>228</v>
      </c>
      <c r="F12" s="193">
        <v>2015</v>
      </c>
      <c r="G12" s="293">
        <v>369560</v>
      </c>
      <c r="H12" s="294">
        <f t="shared" si="1"/>
        <v>370</v>
      </c>
      <c r="I12" s="193" t="str">
        <f t="shared" si="2"/>
        <v>8726F</v>
      </c>
      <c r="K12" s="91" t="s">
        <v>491</v>
      </c>
      <c r="L12">
        <v>1592</v>
      </c>
      <c r="M12">
        <v>1619</v>
      </c>
      <c r="N12">
        <v>1715</v>
      </c>
      <c r="O12">
        <v>1749</v>
      </c>
      <c r="P12">
        <v>2093</v>
      </c>
      <c r="Q12">
        <v>8768</v>
      </c>
    </row>
    <row r="13" spans="1:17" ht="12.9">
      <c r="A13" s="290" t="str">
        <f t="shared" si="0"/>
        <v>9999F2015</v>
      </c>
      <c r="B13" s="291" t="s">
        <v>578</v>
      </c>
      <c r="C13" s="295" t="s">
        <v>612</v>
      </c>
      <c r="D13" s="291" t="s">
        <v>22</v>
      </c>
      <c r="E13" s="291" t="s">
        <v>228</v>
      </c>
      <c r="F13" s="193">
        <v>2015</v>
      </c>
      <c r="G13" s="293">
        <v>66212475</v>
      </c>
      <c r="H13" s="294">
        <f t="shared" si="1"/>
        <v>66212</v>
      </c>
      <c r="I13" s="193" t="str">
        <f t="shared" si="2"/>
        <v>9999F</v>
      </c>
      <c r="K13" s="91" t="s">
        <v>492</v>
      </c>
      <c r="L13">
        <v>7017</v>
      </c>
      <c r="M13">
        <v>7370</v>
      </c>
      <c r="N13">
        <v>9757</v>
      </c>
      <c r="O13">
        <v>9255</v>
      </c>
      <c r="P13">
        <v>10253</v>
      </c>
      <c r="Q13">
        <v>43652</v>
      </c>
    </row>
    <row r="14" spans="1:17" ht="12.9">
      <c r="A14" s="290" t="str">
        <f t="shared" si="0"/>
        <v>6824F2016</v>
      </c>
      <c r="B14" s="291" t="s">
        <v>578</v>
      </c>
      <c r="C14" s="295" t="s">
        <v>590</v>
      </c>
      <c r="D14" s="291" t="s">
        <v>591</v>
      </c>
      <c r="E14" s="291" t="s">
        <v>228</v>
      </c>
      <c r="F14" s="193">
        <v>2016</v>
      </c>
      <c r="G14" s="293">
        <v>4234</v>
      </c>
      <c r="H14" s="294">
        <f t="shared" si="1"/>
        <v>4</v>
      </c>
      <c r="I14" s="193" t="str">
        <f t="shared" si="2"/>
        <v>6824F</v>
      </c>
      <c r="K14" s="91" t="s">
        <v>493</v>
      </c>
      <c r="L14">
        <v>18115</v>
      </c>
      <c r="M14">
        <v>19617</v>
      </c>
      <c r="N14">
        <v>21555</v>
      </c>
      <c r="O14">
        <v>26692</v>
      </c>
      <c r="P14">
        <v>23060</v>
      </c>
      <c r="Q14">
        <v>109039</v>
      </c>
    </row>
    <row r="15" spans="1:17" ht="12.9">
      <c r="A15" s="290" t="str">
        <f t="shared" si="0"/>
        <v>6826F2016</v>
      </c>
      <c r="B15" s="291" t="s">
        <v>578</v>
      </c>
      <c r="C15" s="295" t="s">
        <v>592</v>
      </c>
      <c r="D15" s="291" t="s">
        <v>593</v>
      </c>
      <c r="E15" s="291" t="s">
        <v>228</v>
      </c>
      <c r="F15" s="193">
        <v>2016</v>
      </c>
      <c r="G15" s="293">
        <v>49430</v>
      </c>
      <c r="H15" s="294">
        <f t="shared" si="1"/>
        <v>49</v>
      </c>
      <c r="I15" s="193" t="str">
        <f t="shared" si="2"/>
        <v>6826F</v>
      </c>
      <c r="K15" s="91" t="s">
        <v>494</v>
      </c>
      <c r="L15">
        <v>4691</v>
      </c>
      <c r="M15">
        <v>3697</v>
      </c>
      <c r="N15">
        <v>4149</v>
      </c>
      <c r="O15">
        <v>5890</v>
      </c>
      <c r="P15">
        <v>5072</v>
      </c>
      <c r="Q15">
        <v>23499</v>
      </c>
    </row>
    <row r="16" spans="1:17" ht="12.9">
      <c r="A16" s="290" t="str">
        <f t="shared" si="0"/>
        <v>6843F2016</v>
      </c>
      <c r="B16" s="291" t="s">
        <v>578</v>
      </c>
      <c r="C16" s="295" t="s">
        <v>594</v>
      </c>
      <c r="D16" s="291" t="s">
        <v>595</v>
      </c>
      <c r="E16" s="291" t="s">
        <v>228</v>
      </c>
      <c r="F16" s="193">
        <v>2016</v>
      </c>
      <c r="G16" s="293">
        <v>22587847</v>
      </c>
      <c r="H16" s="294">
        <f t="shared" si="1"/>
        <v>22588</v>
      </c>
      <c r="I16" s="193" t="str">
        <f t="shared" si="2"/>
        <v>6843F</v>
      </c>
      <c r="K16" s="91" t="s">
        <v>495</v>
      </c>
      <c r="L16">
        <v>370</v>
      </c>
      <c r="M16">
        <v>403</v>
      </c>
      <c r="N16">
        <v>228</v>
      </c>
      <c r="O16">
        <v>90</v>
      </c>
      <c r="P16">
        <v>38</v>
      </c>
      <c r="Q16">
        <v>1129</v>
      </c>
    </row>
    <row r="17" spans="1:17" ht="12.9">
      <c r="A17" s="290" t="str">
        <f t="shared" si="0"/>
        <v>6872F2016</v>
      </c>
      <c r="B17" s="291" t="s">
        <v>578</v>
      </c>
      <c r="C17" s="295" t="s">
        <v>596</v>
      </c>
      <c r="D17" s="291" t="s">
        <v>597</v>
      </c>
      <c r="E17" s="291" t="s">
        <v>228</v>
      </c>
      <c r="F17" s="193">
        <v>2016</v>
      </c>
      <c r="G17" s="293">
        <v>42904</v>
      </c>
      <c r="H17" s="294">
        <f t="shared" si="1"/>
        <v>43</v>
      </c>
      <c r="I17" s="193" t="str">
        <f t="shared" si="2"/>
        <v>6872F</v>
      </c>
      <c r="K17" s="91" t="s">
        <v>158</v>
      </c>
      <c r="L17">
        <v>66214</v>
      </c>
      <c r="M17">
        <v>74033</v>
      </c>
      <c r="N17">
        <v>80655</v>
      </c>
      <c r="O17">
        <v>64223</v>
      </c>
      <c r="P17">
        <v>58407</v>
      </c>
      <c r="Q17">
        <v>343532</v>
      </c>
    </row>
    <row r="18" spans="1:17" ht="12.9">
      <c r="A18" s="290" t="str">
        <f t="shared" si="0"/>
        <v>7309F2016</v>
      </c>
      <c r="B18" s="291" t="s">
        <v>578</v>
      </c>
      <c r="C18" s="295" t="s">
        <v>598</v>
      </c>
      <c r="D18" s="291" t="s">
        <v>599</v>
      </c>
      <c r="E18" s="291" t="s">
        <v>228</v>
      </c>
      <c r="F18" s="193">
        <v>2016</v>
      </c>
      <c r="G18" s="293">
        <v>9158468</v>
      </c>
      <c r="H18" s="294">
        <f t="shared" si="1"/>
        <v>9158</v>
      </c>
      <c r="I18" s="193" t="str">
        <f t="shared" si="2"/>
        <v>7309F</v>
      </c>
      <c r="K18"/>
      <c r="L18"/>
      <c r="M18"/>
      <c r="N18"/>
      <c r="O18"/>
      <c r="P18"/>
      <c r="Q18"/>
    </row>
    <row r="19" spans="1:17" ht="12.9">
      <c r="A19" s="290" t="str">
        <f t="shared" si="0"/>
        <v>7313F2016</v>
      </c>
      <c r="B19" s="291" t="s">
        <v>578</v>
      </c>
      <c r="C19" s="295" t="s">
        <v>600</v>
      </c>
      <c r="D19" s="291" t="s">
        <v>601</v>
      </c>
      <c r="E19" s="291" t="s">
        <v>228</v>
      </c>
      <c r="F19" s="193">
        <v>2016</v>
      </c>
      <c r="G19" s="293">
        <v>9485041</v>
      </c>
      <c r="H19" s="294">
        <f t="shared" si="1"/>
        <v>9485</v>
      </c>
      <c r="I19" s="193" t="str">
        <f t="shared" si="2"/>
        <v>7313F</v>
      </c>
      <c r="K19"/>
      <c r="L19"/>
      <c r="M19"/>
      <c r="N19"/>
      <c r="O19"/>
      <c r="P19"/>
      <c r="Q19"/>
    </row>
    <row r="20" spans="1:17" ht="12.9">
      <c r="A20" s="290" t="str">
        <f t="shared" si="0"/>
        <v>7317F2016</v>
      </c>
      <c r="B20" s="291" t="s">
        <v>578</v>
      </c>
      <c r="C20" s="295" t="s">
        <v>602</v>
      </c>
      <c r="D20" s="291" t="s">
        <v>603</v>
      </c>
      <c r="E20" s="291" t="s">
        <v>228</v>
      </c>
      <c r="F20" s="193">
        <v>2016</v>
      </c>
      <c r="G20" s="293">
        <v>1618628</v>
      </c>
      <c r="H20" s="294">
        <f t="shared" si="1"/>
        <v>1619</v>
      </c>
      <c r="I20" s="193" t="str">
        <f t="shared" si="2"/>
        <v>7317F</v>
      </c>
      <c r="K20"/>
      <c r="L20"/>
      <c r="M20"/>
      <c r="N20"/>
      <c r="O20"/>
      <c r="P20"/>
      <c r="Q20"/>
    </row>
    <row r="21" spans="1:17" ht="12.9">
      <c r="A21" s="290" t="str">
        <f t="shared" si="0"/>
        <v>7327F2016</v>
      </c>
      <c r="B21" s="291" t="s">
        <v>578</v>
      </c>
      <c r="C21" s="295" t="s">
        <v>604</v>
      </c>
      <c r="D21" s="291" t="s">
        <v>605</v>
      </c>
      <c r="E21" s="291" t="s">
        <v>228</v>
      </c>
      <c r="F21" s="193">
        <v>2016</v>
      </c>
      <c r="G21" s="293">
        <v>7369503</v>
      </c>
      <c r="H21" s="294">
        <f t="shared" si="1"/>
        <v>7370</v>
      </c>
      <c r="I21" s="193" t="str">
        <f t="shared" si="2"/>
        <v>7327F</v>
      </c>
      <c r="K21"/>
      <c r="L21"/>
      <c r="M21"/>
      <c r="N21"/>
      <c r="O21"/>
      <c r="P21"/>
      <c r="Q21"/>
    </row>
    <row r="22" spans="1:17" ht="12.9">
      <c r="A22" s="290" t="str">
        <f t="shared" si="0"/>
        <v>7366F2016</v>
      </c>
      <c r="B22" s="291" t="s">
        <v>578</v>
      </c>
      <c r="C22" s="295" t="s">
        <v>606</v>
      </c>
      <c r="D22" s="291" t="s">
        <v>607</v>
      </c>
      <c r="E22" s="291" t="s">
        <v>228</v>
      </c>
      <c r="F22" s="193">
        <v>2016</v>
      </c>
      <c r="G22" s="293">
        <v>19617161</v>
      </c>
      <c r="H22" s="294">
        <f t="shared" si="1"/>
        <v>19617</v>
      </c>
      <c r="I22" s="193" t="str">
        <f t="shared" si="2"/>
        <v>7366F</v>
      </c>
      <c r="K22"/>
      <c r="L22"/>
      <c r="M22"/>
      <c r="N22"/>
      <c r="O22"/>
      <c r="P22"/>
      <c r="Q22"/>
    </row>
    <row r="23" spans="1:17" ht="12.9">
      <c r="A23" s="290" t="str">
        <f t="shared" si="0"/>
        <v>8709F2016</v>
      </c>
      <c r="B23" s="291" t="s">
        <v>578</v>
      </c>
      <c r="C23" s="295" t="s">
        <v>608</v>
      </c>
      <c r="D23" s="291" t="s">
        <v>609</v>
      </c>
      <c r="E23" s="291" t="s">
        <v>228</v>
      </c>
      <c r="F23" s="193">
        <v>2016</v>
      </c>
      <c r="G23" s="293">
        <v>3697064</v>
      </c>
      <c r="H23" s="294">
        <f t="shared" si="1"/>
        <v>3697</v>
      </c>
      <c r="I23" s="193" t="str">
        <f t="shared" si="2"/>
        <v>8709F</v>
      </c>
      <c r="K23"/>
      <c r="L23"/>
      <c r="M23"/>
      <c r="N23"/>
      <c r="O23"/>
      <c r="P23"/>
      <c r="Q23"/>
    </row>
    <row r="24" spans="1:17" ht="12.9">
      <c r="A24" s="290" t="str">
        <f t="shared" si="0"/>
        <v>8726F2016</v>
      </c>
      <c r="B24" s="291" t="s">
        <v>578</v>
      </c>
      <c r="C24" s="295" t="s">
        <v>610</v>
      </c>
      <c r="D24" s="291" t="s">
        <v>611</v>
      </c>
      <c r="E24" s="291" t="s">
        <v>228</v>
      </c>
      <c r="F24" s="193">
        <v>2016</v>
      </c>
      <c r="G24" s="293">
        <v>402715</v>
      </c>
      <c r="H24" s="294">
        <f t="shared" si="1"/>
        <v>403</v>
      </c>
      <c r="I24" s="193" t="str">
        <f t="shared" si="2"/>
        <v>8726F</v>
      </c>
      <c r="K24"/>
      <c r="L24"/>
      <c r="M24"/>
      <c r="N24"/>
      <c r="O24"/>
      <c r="P24"/>
      <c r="Q24"/>
    </row>
    <row r="25" spans="1:17" ht="12.9">
      <c r="A25" s="290" t="str">
        <f t="shared" si="0"/>
        <v>9999F2016</v>
      </c>
      <c r="B25" s="291" t="s">
        <v>578</v>
      </c>
      <c r="C25" s="295" t="s">
        <v>612</v>
      </c>
      <c r="D25" s="291" t="s">
        <v>22</v>
      </c>
      <c r="E25" s="291" t="s">
        <v>228</v>
      </c>
      <c r="F25" s="193">
        <v>2016</v>
      </c>
      <c r="G25" s="293">
        <v>74032995</v>
      </c>
      <c r="H25" s="294">
        <f t="shared" si="1"/>
        <v>74033</v>
      </c>
      <c r="I25" s="193" t="str">
        <f t="shared" si="2"/>
        <v>9999F</v>
      </c>
      <c r="K25"/>
      <c r="L25"/>
      <c r="M25"/>
      <c r="N25"/>
      <c r="O25"/>
      <c r="P25"/>
      <c r="Q25"/>
    </row>
    <row r="26" spans="1:17" ht="12.9">
      <c r="A26" s="290" t="str">
        <f t="shared" si="0"/>
        <v>6824F2017</v>
      </c>
      <c r="B26" s="291" t="s">
        <v>578</v>
      </c>
      <c r="C26" s="295" t="s">
        <v>590</v>
      </c>
      <c r="D26" s="291" t="s">
        <v>591</v>
      </c>
      <c r="E26" s="291" t="s">
        <v>228</v>
      </c>
      <c r="F26" s="193">
        <v>2017</v>
      </c>
      <c r="G26" s="293">
        <v>30688</v>
      </c>
      <c r="H26" s="294">
        <f t="shared" si="1"/>
        <v>31</v>
      </c>
      <c r="I26" s="193" t="str">
        <f t="shared" si="2"/>
        <v>6824F</v>
      </c>
      <c r="K26"/>
      <c r="L26"/>
      <c r="M26"/>
      <c r="N26"/>
      <c r="O26"/>
      <c r="P26"/>
      <c r="Q26"/>
    </row>
    <row r="27" spans="1:17" ht="12.9">
      <c r="A27" s="290" t="str">
        <f t="shared" si="0"/>
        <v>6826F2017</v>
      </c>
      <c r="B27" s="291" t="s">
        <v>578</v>
      </c>
      <c r="C27" s="295" t="s">
        <v>592</v>
      </c>
      <c r="D27" s="291" t="s">
        <v>593</v>
      </c>
      <c r="E27" s="291" t="s">
        <v>228</v>
      </c>
      <c r="F27" s="193">
        <v>2017</v>
      </c>
      <c r="G27" s="293">
        <v>52439</v>
      </c>
      <c r="H27" s="294">
        <f t="shared" si="1"/>
        <v>52</v>
      </c>
      <c r="I27" s="193" t="str">
        <f t="shared" si="2"/>
        <v>6826F</v>
      </c>
      <c r="K27"/>
      <c r="L27"/>
      <c r="M27"/>
      <c r="N27"/>
      <c r="O27"/>
      <c r="P27"/>
      <c r="Q27"/>
    </row>
    <row r="28" spans="1:17" ht="12.9">
      <c r="A28" s="290" t="str">
        <f t="shared" si="0"/>
        <v>6843F2017</v>
      </c>
      <c r="B28" s="291" t="s">
        <v>578</v>
      </c>
      <c r="C28" s="295" t="s">
        <v>594</v>
      </c>
      <c r="D28" s="291" t="s">
        <v>595</v>
      </c>
      <c r="E28" s="291" t="s">
        <v>228</v>
      </c>
      <c r="F28" s="193">
        <v>2017</v>
      </c>
      <c r="G28" s="293">
        <v>19849381</v>
      </c>
      <c r="H28" s="294">
        <f t="shared" si="1"/>
        <v>19849</v>
      </c>
      <c r="I28" s="193" t="str">
        <f t="shared" si="2"/>
        <v>6843F</v>
      </c>
      <c r="K28"/>
      <c r="L28"/>
      <c r="M28"/>
      <c r="N28"/>
      <c r="O28"/>
      <c r="P28"/>
      <c r="Q28"/>
    </row>
    <row r="29" spans="1:17" ht="12.9">
      <c r="A29" s="290" t="str">
        <f t="shared" si="0"/>
        <v>6872F2017</v>
      </c>
      <c r="B29" s="291" t="s">
        <v>578</v>
      </c>
      <c r="C29" s="295" t="s">
        <v>596</v>
      </c>
      <c r="D29" s="291" t="s">
        <v>597</v>
      </c>
      <c r="E29" s="291" t="s">
        <v>228</v>
      </c>
      <c r="F29" s="193">
        <v>2017</v>
      </c>
      <c r="G29" s="293">
        <v>271275</v>
      </c>
      <c r="H29" s="294">
        <f t="shared" si="1"/>
        <v>271</v>
      </c>
      <c r="I29" s="193" t="str">
        <f t="shared" si="2"/>
        <v>6872F</v>
      </c>
      <c r="K29"/>
      <c r="L29"/>
      <c r="M29"/>
      <c r="N29"/>
      <c r="O29"/>
      <c r="P29"/>
      <c r="Q29"/>
    </row>
    <row r="30" spans="1:17" ht="12.9">
      <c r="A30" s="290" t="str">
        <f t="shared" si="0"/>
        <v>7309F2017</v>
      </c>
      <c r="B30" s="291" t="s">
        <v>578</v>
      </c>
      <c r="C30" s="295" t="s">
        <v>598</v>
      </c>
      <c r="D30" s="291" t="s">
        <v>599</v>
      </c>
      <c r="E30" s="291" t="s">
        <v>228</v>
      </c>
      <c r="F30" s="193">
        <v>2017</v>
      </c>
      <c r="G30" s="293">
        <v>8549444</v>
      </c>
      <c r="H30" s="294">
        <f t="shared" si="1"/>
        <v>8549</v>
      </c>
      <c r="I30" s="193" t="str">
        <f t="shared" si="2"/>
        <v>7309F</v>
      </c>
      <c r="K30"/>
      <c r="L30"/>
      <c r="M30"/>
      <c r="N30"/>
      <c r="O30"/>
      <c r="P30"/>
      <c r="Q30"/>
    </row>
    <row r="31" spans="1:17" ht="12.9">
      <c r="A31" s="290" t="str">
        <f t="shared" si="0"/>
        <v>7313F2017</v>
      </c>
      <c r="B31" s="291" t="s">
        <v>578</v>
      </c>
      <c r="C31" s="295" t="s">
        <v>600</v>
      </c>
      <c r="D31" s="291" t="s">
        <v>601</v>
      </c>
      <c r="E31" s="291" t="s">
        <v>228</v>
      </c>
      <c r="F31" s="193">
        <v>2017</v>
      </c>
      <c r="G31" s="293">
        <v>14498773</v>
      </c>
      <c r="H31" s="294">
        <f t="shared" si="1"/>
        <v>14499</v>
      </c>
      <c r="I31" s="193" t="str">
        <f t="shared" si="2"/>
        <v>7313F</v>
      </c>
      <c r="K31"/>
      <c r="L31"/>
      <c r="M31"/>
      <c r="N31"/>
      <c r="O31"/>
      <c r="P31"/>
      <c r="Q31"/>
    </row>
    <row r="32" spans="1:17" ht="12.9">
      <c r="A32" s="290" t="str">
        <f t="shared" si="0"/>
        <v>7317F2017</v>
      </c>
      <c r="B32" s="291" t="s">
        <v>578</v>
      </c>
      <c r="C32" s="295" t="s">
        <v>602</v>
      </c>
      <c r="D32" s="291" t="s">
        <v>603</v>
      </c>
      <c r="E32" s="291" t="s">
        <v>228</v>
      </c>
      <c r="F32" s="193">
        <v>2017</v>
      </c>
      <c r="G32" s="293">
        <v>1714709</v>
      </c>
      <c r="H32" s="294">
        <f t="shared" si="1"/>
        <v>1715</v>
      </c>
      <c r="I32" s="193" t="str">
        <f t="shared" si="2"/>
        <v>7317F</v>
      </c>
      <c r="K32"/>
      <c r="L32"/>
      <c r="M32"/>
      <c r="N32"/>
      <c r="O32"/>
      <c r="P32"/>
      <c r="Q32"/>
    </row>
    <row r="33" spans="1:17" ht="12.9">
      <c r="A33" s="290" t="str">
        <f t="shared" si="0"/>
        <v>7327F2017</v>
      </c>
      <c r="B33" s="291" t="s">
        <v>578</v>
      </c>
      <c r="C33" s="295" t="s">
        <v>604</v>
      </c>
      <c r="D33" s="291" t="s">
        <v>605</v>
      </c>
      <c r="E33" s="291" t="s">
        <v>228</v>
      </c>
      <c r="F33" s="193">
        <v>2017</v>
      </c>
      <c r="G33" s="293">
        <v>9756508</v>
      </c>
      <c r="H33" s="294">
        <f t="shared" si="1"/>
        <v>9757</v>
      </c>
      <c r="I33" s="193" t="str">
        <f t="shared" si="2"/>
        <v>7327F</v>
      </c>
      <c r="K33"/>
      <c r="L33"/>
      <c r="M33"/>
      <c r="N33"/>
      <c r="O33"/>
      <c r="P33"/>
      <c r="Q33"/>
    </row>
    <row r="34" spans="1:17" ht="12.9">
      <c r="A34" s="290" t="str">
        <f t="shared" si="0"/>
        <v>7366F2017</v>
      </c>
      <c r="B34" s="291" t="s">
        <v>578</v>
      </c>
      <c r="C34" s="295" t="s">
        <v>606</v>
      </c>
      <c r="D34" s="291" t="s">
        <v>607</v>
      </c>
      <c r="E34" s="291" t="s">
        <v>228</v>
      </c>
      <c r="F34" s="193">
        <v>2017</v>
      </c>
      <c r="G34" s="293">
        <v>21554950</v>
      </c>
      <c r="H34" s="294">
        <f t="shared" si="1"/>
        <v>21555</v>
      </c>
      <c r="I34" s="193" t="str">
        <f t="shared" si="2"/>
        <v>7366F</v>
      </c>
      <c r="K34"/>
      <c r="L34"/>
      <c r="M34"/>
      <c r="N34"/>
      <c r="O34"/>
      <c r="P34"/>
      <c r="Q34"/>
    </row>
    <row r="35" spans="1:17" ht="12.9">
      <c r="A35" s="290" t="str">
        <f t="shared" si="0"/>
        <v>8709F2017</v>
      </c>
      <c r="B35" s="291" t="s">
        <v>578</v>
      </c>
      <c r="C35" s="295" t="s">
        <v>608</v>
      </c>
      <c r="D35" s="291" t="s">
        <v>609</v>
      </c>
      <c r="E35" s="291" t="s">
        <v>228</v>
      </c>
      <c r="F35" s="193">
        <v>2017</v>
      </c>
      <c r="G35" s="293">
        <v>4149206</v>
      </c>
      <c r="H35" s="294">
        <f t="shared" si="1"/>
        <v>4149</v>
      </c>
      <c r="I35" s="193" t="str">
        <f t="shared" si="2"/>
        <v>8709F</v>
      </c>
      <c r="K35"/>
      <c r="L35"/>
      <c r="M35"/>
      <c r="N35"/>
      <c r="O35"/>
      <c r="P35"/>
      <c r="Q35"/>
    </row>
    <row r="36" spans="1:17" ht="12.9">
      <c r="A36" s="290" t="str">
        <f t="shared" si="0"/>
        <v>8726F2017</v>
      </c>
      <c r="B36" s="291" t="s">
        <v>578</v>
      </c>
      <c r="C36" s="295" t="s">
        <v>610</v>
      </c>
      <c r="D36" s="291" t="s">
        <v>611</v>
      </c>
      <c r="E36" s="291" t="s">
        <v>228</v>
      </c>
      <c r="F36" s="193">
        <v>2017</v>
      </c>
      <c r="G36" s="293">
        <v>228072</v>
      </c>
      <c r="H36" s="294">
        <f t="shared" si="1"/>
        <v>228</v>
      </c>
      <c r="I36" s="193" t="str">
        <f t="shared" si="2"/>
        <v>8726F</v>
      </c>
      <c r="K36"/>
      <c r="L36"/>
      <c r="M36"/>
      <c r="N36"/>
      <c r="O36"/>
      <c r="P36"/>
      <c r="Q36"/>
    </row>
    <row r="37" spans="1:17" ht="12.9">
      <c r="A37" s="290" t="str">
        <f t="shared" si="0"/>
        <v>9999F2017</v>
      </c>
      <c r="B37" s="291" t="s">
        <v>578</v>
      </c>
      <c r="C37" s="295" t="s">
        <v>612</v>
      </c>
      <c r="D37" s="291" t="s">
        <v>22</v>
      </c>
      <c r="E37" s="291" t="s">
        <v>228</v>
      </c>
      <c r="F37" s="193">
        <v>2017</v>
      </c>
      <c r="G37" s="293">
        <v>80655445</v>
      </c>
      <c r="H37" s="294">
        <f t="shared" si="1"/>
        <v>80655</v>
      </c>
      <c r="I37" s="193" t="str">
        <f t="shared" si="2"/>
        <v>9999F</v>
      </c>
      <c r="K37"/>
      <c r="L37"/>
      <c r="M37"/>
      <c r="N37"/>
      <c r="O37"/>
      <c r="P37"/>
      <c r="Q37"/>
    </row>
    <row r="38" spans="1:17" ht="12.9">
      <c r="A38" s="290" t="str">
        <f t="shared" si="0"/>
        <v>6824F2018</v>
      </c>
      <c r="B38" s="291" t="s">
        <v>578</v>
      </c>
      <c r="C38" s="295" t="s">
        <v>590</v>
      </c>
      <c r="D38" s="291" t="s">
        <v>591</v>
      </c>
      <c r="E38" s="291" t="s">
        <v>228</v>
      </c>
      <c r="F38" s="193">
        <v>2018</v>
      </c>
      <c r="G38" s="293">
        <v>40177</v>
      </c>
      <c r="H38" s="294">
        <f t="shared" si="1"/>
        <v>40</v>
      </c>
      <c r="I38" s="193" t="str">
        <f t="shared" si="2"/>
        <v>6824F</v>
      </c>
      <c r="K38"/>
      <c r="L38"/>
      <c r="M38"/>
      <c r="N38"/>
      <c r="O38"/>
      <c r="P38"/>
      <c r="Q38"/>
    </row>
    <row r="39" spans="1:17" ht="12.9">
      <c r="A39" s="290" t="str">
        <f t="shared" si="0"/>
        <v>6826F2018</v>
      </c>
      <c r="B39" s="291" t="s">
        <v>578</v>
      </c>
      <c r="C39" s="295" t="s">
        <v>592</v>
      </c>
      <c r="D39" s="291" t="s">
        <v>593</v>
      </c>
      <c r="E39" s="291" t="s">
        <v>228</v>
      </c>
      <c r="F39" s="193">
        <v>2018</v>
      </c>
      <c r="G39" s="293">
        <v>40131</v>
      </c>
      <c r="H39" s="294">
        <f t="shared" si="1"/>
        <v>40</v>
      </c>
      <c r="I39" s="193" t="str">
        <f t="shared" si="2"/>
        <v>6826F</v>
      </c>
      <c r="K39"/>
      <c r="L39"/>
      <c r="M39"/>
      <c r="N39"/>
      <c r="O39"/>
      <c r="P39"/>
      <c r="Q39"/>
    </row>
    <row r="40" spans="1:17" ht="12.9">
      <c r="A40" s="290" t="str">
        <f t="shared" si="0"/>
        <v>6843F2018</v>
      </c>
      <c r="B40" s="291" t="s">
        <v>578</v>
      </c>
      <c r="C40" s="295" t="s">
        <v>594</v>
      </c>
      <c r="D40" s="291" t="s">
        <v>595</v>
      </c>
      <c r="E40" s="291" t="s">
        <v>228</v>
      </c>
      <c r="F40" s="193">
        <v>2018</v>
      </c>
      <c r="G40" s="293">
        <v>123393</v>
      </c>
      <c r="H40" s="294">
        <f t="shared" si="1"/>
        <v>123</v>
      </c>
      <c r="I40" s="193" t="str">
        <f t="shared" si="2"/>
        <v>6843F</v>
      </c>
      <c r="K40"/>
      <c r="L40"/>
      <c r="M40"/>
      <c r="N40"/>
      <c r="O40"/>
      <c r="P40"/>
      <c r="Q40"/>
    </row>
    <row r="41" spans="1:17" ht="12.9">
      <c r="A41" s="290" t="str">
        <f t="shared" si="0"/>
        <v>6872F2018</v>
      </c>
      <c r="B41" s="291" t="s">
        <v>578</v>
      </c>
      <c r="C41" s="295" t="s">
        <v>596</v>
      </c>
      <c r="D41" s="291" t="s">
        <v>597</v>
      </c>
      <c r="E41" s="291" t="s">
        <v>228</v>
      </c>
      <c r="F41" s="193">
        <v>2018</v>
      </c>
      <c r="G41" s="293">
        <v>83217</v>
      </c>
      <c r="H41" s="294">
        <f t="shared" si="1"/>
        <v>83</v>
      </c>
      <c r="I41" s="193" t="str">
        <f t="shared" si="2"/>
        <v>6872F</v>
      </c>
      <c r="K41"/>
      <c r="L41"/>
      <c r="M41"/>
      <c r="N41"/>
      <c r="O41"/>
      <c r="P41"/>
      <c r="Q41"/>
    </row>
    <row r="42" spans="1:17" ht="12.9">
      <c r="A42" s="290" t="str">
        <f t="shared" si="0"/>
        <v>7309F2018</v>
      </c>
      <c r="B42" s="291" t="s">
        <v>578</v>
      </c>
      <c r="C42" s="295" t="s">
        <v>598</v>
      </c>
      <c r="D42" s="291" t="s">
        <v>599</v>
      </c>
      <c r="E42" s="291" t="s">
        <v>228</v>
      </c>
      <c r="F42" s="193">
        <v>2018</v>
      </c>
      <c r="G42" s="293">
        <v>8032535</v>
      </c>
      <c r="H42" s="294">
        <f t="shared" si="1"/>
        <v>8033</v>
      </c>
      <c r="I42" s="193" t="str">
        <f t="shared" si="2"/>
        <v>7309F</v>
      </c>
      <c r="K42"/>
      <c r="L42"/>
      <c r="M42"/>
      <c r="N42"/>
      <c r="O42"/>
      <c r="P42"/>
      <c r="Q42"/>
    </row>
    <row r="43" spans="1:17" ht="12.9">
      <c r="A43" s="290" t="str">
        <f t="shared" si="0"/>
        <v>7313F2018</v>
      </c>
      <c r="B43" s="291" t="s">
        <v>578</v>
      </c>
      <c r="C43" s="295" t="s">
        <v>600</v>
      </c>
      <c r="D43" s="291" t="s">
        <v>601</v>
      </c>
      <c r="E43" s="291" t="s">
        <v>228</v>
      </c>
      <c r="F43" s="193">
        <v>2018</v>
      </c>
      <c r="G43" s="293">
        <v>12227762</v>
      </c>
      <c r="H43" s="294">
        <f t="shared" si="1"/>
        <v>12228</v>
      </c>
      <c r="I43" s="193" t="str">
        <f t="shared" si="2"/>
        <v>7313F</v>
      </c>
      <c r="K43"/>
      <c r="L43"/>
      <c r="M43"/>
      <c r="N43"/>
      <c r="O43"/>
      <c r="P43"/>
      <c r="Q43"/>
    </row>
    <row r="44" spans="1:17" ht="12.9">
      <c r="A44" s="290" t="str">
        <f t="shared" si="0"/>
        <v>7317F2018</v>
      </c>
      <c r="B44" s="291" t="s">
        <v>578</v>
      </c>
      <c r="C44" s="295" t="s">
        <v>602</v>
      </c>
      <c r="D44" s="291" t="s">
        <v>603</v>
      </c>
      <c r="E44" s="291" t="s">
        <v>228</v>
      </c>
      <c r="F44" s="193">
        <v>2018</v>
      </c>
      <c r="G44" s="293">
        <v>1749261</v>
      </c>
      <c r="H44" s="294">
        <f t="shared" si="1"/>
        <v>1749</v>
      </c>
      <c r="I44" s="193" t="str">
        <f t="shared" si="2"/>
        <v>7317F</v>
      </c>
      <c r="K44"/>
      <c r="L44"/>
      <c r="M44"/>
      <c r="N44"/>
      <c r="O44"/>
      <c r="P44"/>
      <c r="Q44"/>
    </row>
    <row r="45" spans="1:17">
      <c r="A45" s="290" t="str">
        <f t="shared" si="0"/>
        <v>7327F2018</v>
      </c>
      <c r="B45" s="291" t="s">
        <v>578</v>
      </c>
      <c r="C45" s="726" t="s">
        <v>604</v>
      </c>
      <c r="D45" s="291" t="s">
        <v>605</v>
      </c>
      <c r="E45" s="291" t="s">
        <v>228</v>
      </c>
      <c r="F45" s="193">
        <v>2018</v>
      </c>
      <c r="G45" s="293">
        <v>9255385</v>
      </c>
      <c r="H45" s="294">
        <f t="shared" si="1"/>
        <v>9255</v>
      </c>
      <c r="I45" s="193" t="str">
        <f t="shared" si="2"/>
        <v>7327F</v>
      </c>
    </row>
    <row r="46" spans="1:17">
      <c r="A46" s="290" t="str">
        <f t="shared" si="0"/>
        <v>7366F2018</v>
      </c>
      <c r="B46" s="291" t="s">
        <v>578</v>
      </c>
      <c r="C46" s="726" t="s">
        <v>606</v>
      </c>
      <c r="D46" s="291" t="s">
        <v>607</v>
      </c>
      <c r="E46" s="291" t="s">
        <v>228</v>
      </c>
      <c r="F46" s="193">
        <v>2018</v>
      </c>
      <c r="G46" s="292">
        <v>26692458</v>
      </c>
      <c r="H46" s="294">
        <f t="shared" si="1"/>
        <v>26692</v>
      </c>
      <c r="I46" s="193" t="str">
        <f t="shared" si="2"/>
        <v>7366F</v>
      </c>
    </row>
    <row r="47" spans="1:17">
      <c r="A47" s="290" t="str">
        <f t="shared" si="0"/>
        <v>8709F2018</v>
      </c>
      <c r="B47" s="291" t="s">
        <v>578</v>
      </c>
      <c r="C47" s="726" t="s">
        <v>608</v>
      </c>
      <c r="D47" s="291" t="s">
        <v>609</v>
      </c>
      <c r="E47" s="291" t="s">
        <v>228</v>
      </c>
      <c r="F47" s="193">
        <v>2018</v>
      </c>
      <c r="G47" s="292">
        <v>5890168</v>
      </c>
      <c r="H47" s="294">
        <f t="shared" si="1"/>
        <v>5890</v>
      </c>
      <c r="I47" s="193" t="str">
        <f t="shared" si="2"/>
        <v>8709F</v>
      </c>
    </row>
    <row r="48" spans="1:17">
      <c r="A48" s="290" t="str">
        <f t="shared" si="0"/>
        <v>8726F2018</v>
      </c>
      <c r="B48" s="291" t="s">
        <v>578</v>
      </c>
      <c r="C48" s="726" t="s">
        <v>610</v>
      </c>
      <c r="D48" s="291" t="s">
        <v>611</v>
      </c>
      <c r="E48" s="291" t="s">
        <v>228</v>
      </c>
      <c r="F48" s="193">
        <v>2018</v>
      </c>
      <c r="G48" s="292">
        <v>90415</v>
      </c>
      <c r="H48" s="294">
        <f t="shared" si="1"/>
        <v>90</v>
      </c>
      <c r="I48" s="193" t="str">
        <f t="shared" si="2"/>
        <v>8726F</v>
      </c>
    </row>
    <row r="49" spans="1:9">
      <c r="A49" s="290" t="str">
        <f t="shared" si="0"/>
        <v>9999F2018</v>
      </c>
      <c r="B49" s="291" t="s">
        <v>578</v>
      </c>
      <c r="C49" s="726" t="s">
        <v>612</v>
      </c>
      <c r="D49" s="291" t="s">
        <v>22</v>
      </c>
      <c r="E49" s="291" t="s">
        <v>228</v>
      </c>
      <c r="F49" s="193">
        <v>2018</v>
      </c>
      <c r="G49" s="292">
        <v>64224902</v>
      </c>
      <c r="H49" s="294">
        <f t="shared" si="1"/>
        <v>64225</v>
      </c>
      <c r="I49" s="193" t="str">
        <f t="shared" si="2"/>
        <v>9999F</v>
      </c>
    </row>
    <row r="50" spans="1:9">
      <c r="A50" s="290" t="str">
        <f t="shared" si="0"/>
        <v>6824F2019</v>
      </c>
      <c r="B50" s="291" t="s">
        <v>578</v>
      </c>
      <c r="C50" s="726" t="s">
        <v>590</v>
      </c>
      <c r="D50" s="291" t="s">
        <v>591</v>
      </c>
      <c r="E50" s="291" t="s">
        <v>228</v>
      </c>
      <c r="F50" s="193">
        <v>2019</v>
      </c>
      <c r="G50" s="292">
        <v>51500</v>
      </c>
      <c r="H50" s="294">
        <f t="shared" si="1"/>
        <v>52</v>
      </c>
      <c r="I50" s="193" t="str">
        <f t="shared" si="2"/>
        <v>6824F</v>
      </c>
    </row>
    <row r="51" spans="1:9">
      <c r="A51" s="290" t="str">
        <f t="shared" si="0"/>
        <v>6826F2019</v>
      </c>
      <c r="B51" s="291" t="s">
        <v>578</v>
      </c>
      <c r="C51" s="726" t="s">
        <v>592</v>
      </c>
      <c r="D51" s="291" t="s">
        <v>593</v>
      </c>
      <c r="E51" s="291" t="s">
        <v>228</v>
      </c>
      <c r="F51" s="193">
        <v>2019</v>
      </c>
      <c r="G51" s="292">
        <v>35278</v>
      </c>
      <c r="H51" s="294">
        <f t="shared" si="1"/>
        <v>35</v>
      </c>
      <c r="I51" s="193" t="str">
        <f t="shared" si="2"/>
        <v>6826F</v>
      </c>
    </row>
    <row r="52" spans="1:9">
      <c r="A52" s="290" t="str">
        <f t="shared" si="0"/>
        <v>6843F2019</v>
      </c>
      <c r="B52" s="291" t="s">
        <v>578</v>
      </c>
      <c r="C52" s="726" t="s">
        <v>594</v>
      </c>
      <c r="D52" s="291" t="s">
        <v>595</v>
      </c>
      <c r="E52" s="291" t="s">
        <v>228</v>
      </c>
      <c r="F52" s="193">
        <v>2019</v>
      </c>
      <c r="G52" s="292">
        <v>95637</v>
      </c>
      <c r="H52" s="294">
        <f t="shared" si="1"/>
        <v>96</v>
      </c>
      <c r="I52" s="193" t="str">
        <f t="shared" si="2"/>
        <v>6843F</v>
      </c>
    </row>
    <row r="53" spans="1:9">
      <c r="A53" s="290" t="str">
        <f t="shared" si="0"/>
        <v>6872F2019</v>
      </c>
      <c r="B53" s="291" t="s">
        <v>578</v>
      </c>
      <c r="C53" s="726" t="s">
        <v>596</v>
      </c>
      <c r="D53" s="291" t="s">
        <v>597</v>
      </c>
      <c r="E53" s="291" t="s">
        <v>228</v>
      </c>
      <c r="F53" s="193">
        <v>2019</v>
      </c>
      <c r="G53" s="292">
        <v>132225</v>
      </c>
      <c r="H53" s="294">
        <f t="shared" si="1"/>
        <v>132</v>
      </c>
      <c r="I53" s="193" t="str">
        <f t="shared" si="2"/>
        <v>6872F</v>
      </c>
    </row>
    <row r="54" spans="1:9">
      <c r="A54" s="290" t="str">
        <f t="shared" si="0"/>
        <v>7309F2019</v>
      </c>
      <c r="B54" s="291" t="s">
        <v>578</v>
      </c>
      <c r="C54" s="726" t="s">
        <v>598</v>
      </c>
      <c r="D54" s="291" t="s">
        <v>599</v>
      </c>
      <c r="E54" s="291" t="s">
        <v>228</v>
      </c>
      <c r="F54" s="193">
        <v>2019</v>
      </c>
      <c r="G54" s="292">
        <v>8678791</v>
      </c>
      <c r="H54" s="294">
        <f t="shared" si="1"/>
        <v>8679</v>
      </c>
      <c r="I54" s="193" t="str">
        <f t="shared" si="2"/>
        <v>7309F</v>
      </c>
    </row>
    <row r="55" spans="1:9">
      <c r="A55" s="290" t="str">
        <f t="shared" si="0"/>
        <v>7313F2019</v>
      </c>
      <c r="B55" s="291" t="s">
        <v>578</v>
      </c>
      <c r="C55" s="726" t="s">
        <v>600</v>
      </c>
      <c r="D55" s="291" t="s">
        <v>601</v>
      </c>
      <c r="E55" s="291" t="s">
        <v>228</v>
      </c>
      <c r="F55" s="193">
        <v>2019</v>
      </c>
      <c r="G55" s="292">
        <v>8896691</v>
      </c>
      <c r="H55" s="294">
        <f t="shared" si="1"/>
        <v>8897</v>
      </c>
      <c r="I55" s="193" t="str">
        <f t="shared" si="2"/>
        <v>7313F</v>
      </c>
    </row>
    <row r="56" spans="1:9">
      <c r="A56" s="290" t="str">
        <f t="shared" si="0"/>
        <v>7317F2019</v>
      </c>
      <c r="B56" s="291" t="s">
        <v>578</v>
      </c>
      <c r="C56" s="726" t="s">
        <v>602</v>
      </c>
      <c r="D56" s="291" t="s">
        <v>603</v>
      </c>
      <c r="E56" s="291" t="s">
        <v>228</v>
      </c>
      <c r="F56" s="193">
        <v>2019</v>
      </c>
      <c r="G56" s="292">
        <v>2092803</v>
      </c>
      <c r="H56" s="294">
        <f t="shared" si="1"/>
        <v>2093</v>
      </c>
      <c r="I56" s="193" t="str">
        <f t="shared" si="2"/>
        <v>7317F</v>
      </c>
    </row>
    <row r="57" spans="1:9">
      <c r="A57" s="290" t="str">
        <f t="shared" si="0"/>
        <v>7327F2019</v>
      </c>
      <c r="B57" s="291" t="s">
        <v>578</v>
      </c>
      <c r="C57" s="726" t="s">
        <v>604</v>
      </c>
      <c r="D57" s="291" t="s">
        <v>605</v>
      </c>
      <c r="E57" s="291" t="s">
        <v>228</v>
      </c>
      <c r="F57" s="193">
        <v>2019</v>
      </c>
      <c r="G57" s="292">
        <v>10252999</v>
      </c>
      <c r="H57" s="294">
        <f t="shared" si="1"/>
        <v>10253</v>
      </c>
      <c r="I57" s="193" t="str">
        <f t="shared" si="2"/>
        <v>7327F</v>
      </c>
    </row>
    <row r="58" spans="1:9">
      <c r="A58" s="290" t="str">
        <f t="shared" si="0"/>
        <v>7366F2019</v>
      </c>
      <c r="B58" s="291" t="s">
        <v>578</v>
      </c>
      <c r="C58" s="726" t="s">
        <v>606</v>
      </c>
      <c r="D58" s="291" t="s">
        <v>607</v>
      </c>
      <c r="E58" s="291" t="s">
        <v>228</v>
      </c>
      <c r="F58" s="193">
        <v>2019</v>
      </c>
      <c r="G58" s="292">
        <v>23059726</v>
      </c>
      <c r="H58" s="294">
        <f t="shared" si="1"/>
        <v>23060</v>
      </c>
      <c r="I58" s="193" t="str">
        <f t="shared" si="2"/>
        <v>7366F</v>
      </c>
    </row>
    <row r="59" spans="1:9">
      <c r="A59" s="290" t="str">
        <f t="shared" si="0"/>
        <v>8709F2019</v>
      </c>
      <c r="B59" s="291" t="s">
        <v>578</v>
      </c>
      <c r="C59" s="726" t="s">
        <v>608</v>
      </c>
      <c r="D59" s="291" t="s">
        <v>609</v>
      </c>
      <c r="E59" s="291" t="s">
        <v>228</v>
      </c>
      <c r="F59" s="193">
        <v>2019</v>
      </c>
      <c r="G59" s="292">
        <v>5071710</v>
      </c>
      <c r="H59" s="294">
        <f t="shared" si="1"/>
        <v>5072</v>
      </c>
      <c r="I59" s="193" t="str">
        <f t="shared" si="2"/>
        <v>8709F</v>
      </c>
    </row>
    <row r="60" spans="1:9">
      <c r="A60" s="290" t="str">
        <f t="shared" si="0"/>
        <v>8726F2019</v>
      </c>
      <c r="B60" s="291" t="s">
        <v>578</v>
      </c>
      <c r="C60" s="726" t="s">
        <v>610</v>
      </c>
      <c r="D60" s="291" t="s">
        <v>611</v>
      </c>
      <c r="E60" s="291" t="s">
        <v>228</v>
      </c>
      <c r="F60" s="193">
        <v>2019</v>
      </c>
      <c r="G60" s="292">
        <v>38443</v>
      </c>
      <c r="H60" s="294">
        <f t="shared" si="1"/>
        <v>38</v>
      </c>
      <c r="I60" s="193" t="str">
        <f t="shared" si="2"/>
        <v>8726F</v>
      </c>
    </row>
    <row r="61" spans="1:9">
      <c r="A61" s="290" t="str">
        <f t="shared" si="0"/>
        <v>9999F2019</v>
      </c>
      <c r="B61" s="291" t="s">
        <v>578</v>
      </c>
      <c r="C61" s="726" t="s">
        <v>612</v>
      </c>
      <c r="D61" s="291" t="s">
        <v>22</v>
      </c>
      <c r="E61" s="291" t="s">
        <v>228</v>
      </c>
      <c r="F61" s="193">
        <v>2019</v>
      </c>
      <c r="G61" s="292">
        <v>58405803</v>
      </c>
      <c r="H61" s="294">
        <f t="shared" si="1"/>
        <v>58406</v>
      </c>
      <c r="I61" s="193" t="str">
        <f t="shared" si="2"/>
        <v>9999F</v>
      </c>
    </row>
  </sheetData>
  <phoneticPr fontId="0" type="noConversion"/>
  <pageMargins left="0.7" right="0.7" top="0.75" bottom="0.75" header="0.3" footer="0.3"/>
  <pageSetup orientation="portrait" horizontalDpi="300" verticalDpi="300"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11600CC-521A-4150-864E-11E9F81F6E44}">
  <sheetPr codeName="Sheet5">
    <tabColor rgb="FFFF0000"/>
  </sheetPr>
  <dimension ref="A1:X37"/>
  <sheetViews>
    <sheetView zoomScale="130" zoomScaleNormal="130" workbookViewId="0">
      <pane xSplit="4" ySplit="1" topLeftCell="E5" activePane="bottomRight" state="frozen"/>
      <selection activeCell="M34" sqref="M34"/>
      <selection pane="topRight" activeCell="M34" sqref="M34"/>
      <selection pane="bottomLeft" activeCell="M34" sqref="M34"/>
      <selection pane="bottomRight" activeCell="M34" sqref="M34"/>
    </sheetView>
  </sheetViews>
  <sheetFormatPr defaultColWidth="9.296875" defaultRowHeight="12"/>
  <cols>
    <col min="1" max="1" width="9.296875" style="723"/>
    <col min="2" max="2" width="15.296875" style="720" bestFit="1" customWidth="1"/>
    <col min="3" max="3" width="13.796875" style="728" bestFit="1" customWidth="1"/>
    <col min="4" max="4" width="33" style="720" bestFit="1" customWidth="1"/>
    <col min="5" max="5" width="8.69921875" style="721" customWidth="1"/>
    <col min="6" max="6" width="10" style="722" bestFit="1" customWidth="1"/>
    <col min="7" max="7" width="7.5" style="722" bestFit="1" customWidth="1"/>
    <col min="8" max="8" width="9.69921875" style="722" bestFit="1" customWidth="1"/>
    <col min="9" max="9" width="9.5" style="722" bestFit="1" customWidth="1"/>
    <col min="10" max="10" width="10" style="722" bestFit="1" customWidth="1"/>
    <col min="11" max="11" width="10" style="722" customWidth="1"/>
    <col min="12" max="12" width="12.5" style="722" bestFit="1" customWidth="1"/>
    <col min="13" max="13" width="10" style="722" bestFit="1" customWidth="1"/>
    <col min="14" max="14" width="12.296875" style="722" bestFit="1" customWidth="1"/>
    <col min="15" max="15" width="12.19921875" style="722" bestFit="1" customWidth="1"/>
    <col min="16" max="16" width="12.5" style="722" bestFit="1" customWidth="1"/>
    <col min="17" max="17" width="11.19921875" style="727" bestFit="1" customWidth="1"/>
    <col min="18" max="18" width="10" style="727" bestFit="1" customWidth="1"/>
    <col min="19" max="19" width="10.796875" style="727" bestFit="1" customWidth="1"/>
    <col min="20" max="20" width="10.69921875" style="727" bestFit="1" customWidth="1"/>
    <col min="21" max="21" width="11.19921875" style="727" bestFit="1" customWidth="1"/>
    <col min="22" max="22" width="9.796875" style="727" bestFit="1" customWidth="1"/>
    <col min="23" max="16384" width="9.296875" style="723"/>
  </cols>
  <sheetData>
    <row r="1" spans="1:24">
      <c r="A1" s="719"/>
      <c r="B1" s="730" t="s">
        <v>207</v>
      </c>
      <c r="C1" s="730" t="s">
        <v>208</v>
      </c>
      <c r="D1" s="730" t="s">
        <v>209</v>
      </c>
      <c r="E1" s="721" t="s">
        <v>72</v>
      </c>
      <c r="F1" s="722" t="s">
        <v>212</v>
      </c>
      <c r="G1" s="722" t="s">
        <v>213</v>
      </c>
      <c r="H1" s="722" t="s">
        <v>214</v>
      </c>
      <c r="I1" s="722" t="s">
        <v>215</v>
      </c>
      <c r="J1" s="722" t="s">
        <v>216</v>
      </c>
      <c r="K1" s="722" t="s">
        <v>271</v>
      </c>
      <c r="L1" s="722" t="s">
        <v>217</v>
      </c>
      <c r="M1" s="722" t="s">
        <v>218</v>
      </c>
      <c r="N1" s="722" t="s">
        <v>219</v>
      </c>
      <c r="O1" s="722" t="s">
        <v>220</v>
      </c>
      <c r="P1" s="722" t="s">
        <v>221</v>
      </c>
      <c r="Q1" s="727" t="s">
        <v>222</v>
      </c>
      <c r="R1" s="727" t="s">
        <v>223</v>
      </c>
      <c r="S1" s="727" t="s">
        <v>224</v>
      </c>
      <c r="T1" s="727" t="s">
        <v>225</v>
      </c>
      <c r="U1" s="727" t="s">
        <v>226</v>
      </c>
      <c r="V1" s="727" t="s">
        <v>227</v>
      </c>
      <c r="X1" s="723" t="s">
        <v>618</v>
      </c>
    </row>
    <row r="2" spans="1:24">
      <c r="A2" s="719" t="str">
        <f t="shared" ref="A2:A37" si="0">X2&amp;E2</f>
        <v>6843F2015</v>
      </c>
      <c r="B2" s="720" t="s">
        <v>578</v>
      </c>
      <c r="C2" s="729">
        <v>6843</v>
      </c>
      <c r="D2" s="724" t="s">
        <v>595</v>
      </c>
      <c r="E2" s="724">
        <v>2015</v>
      </c>
      <c r="F2" s="724"/>
      <c r="G2" s="724"/>
      <c r="H2" s="724">
        <v>1</v>
      </c>
      <c r="I2" s="724"/>
      <c r="J2" s="724">
        <v>15</v>
      </c>
      <c r="K2" s="724">
        <v>9</v>
      </c>
      <c r="L2" s="724"/>
      <c r="M2" s="724"/>
      <c r="N2" s="724">
        <v>326313</v>
      </c>
      <c r="O2" s="724"/>
      <c r="P2" s="724">
        <v>131203</v>
      </c>
      <c r="Q2" s="724"/>
      <c r="R2" s="724"/>
      <c r="S2" s="724">
        <v>185841</v>
      </c>
      <c r="T2" s="724"/>
      <c r="U2" s="724">
        <v>86334</v>
      </c>
      <c r="V2" s="724">
        <v>5494</v>
      </c>
      <c r="X2" s="723" t="str">
        <f t="shared" ref="X2:X37" si="1">C2&amp;"F"</f>
        <v>6843F</v>
      </c>
    </row>
    <row r="3" spans="1:24">
      <c r="A3" s="719" t="str">
        <f t="shared" si="0"/>
        <v>7309F2015</v>
      </c>
      <c r="B3" s="720" t="s">
        <v>578</v>
      </c>
      <c r="C3" s="729">
        <v>7309</v>
      </c>
      <c r="D3" s="724" t="s">
        <v>599</v>
      </c>
      <c r="E3" s="724">
        <v>2015</v>
      </c>
      <c r="F3" s="724"/>
      <c r="G3" s="724"/>
      <c r="H3" s="724">
        <v>3</v>
      </c>
      <c r="I3" s="724">
        <v>4</v>
      </c>
      <c r="J3" s="724">
        <v>6</v>
      </c>
      <c r="K3" s="724">
        <v>5</v>
      </c>
      <c r="L3" s="724"/>
      <c r="M3" s="724"/>
      <c r="N3" s="724">
        <v>1139418</v>
      </c>
      <c r="O3" s="724">
        <v>207190</v>
      </c>
      <c r="P3" s="724">
        <v>57978</v>
      </c>
      <c r="Q3" s="724"/>
      <c r="R3" s="724"/>
      <c r="S3" s="724">
        <v>411772</v>
      </c>
      <c r="T3" s="724">
        <v>111755</v>
      </c>
      <c r="U3" s="724">
        <v>87122</v>
      </c>
      <c r="V3" s="724">
        <v>9818</v>
      </c>
      <c r="X3" s="723" t="str">
        <f t="shared" si="1"/>
        <v>7309F</v>
      </c>
    </row>
    <row r="4" spans="1:24">
      <c r="A4" s="719" t="str">
        <f t="shared" si="0"/>
        <v>7313F2015</v>
      </c>
      <c r="B4" s="720" t="s">
        <v>578</v>
      </c>
      <c r="C4" s="729">
        <v>7313</v>
      </c>
      <c r="D4" s="724" t="s">
        <v>601</v>
      </c>
      <c r="E4" s="724">
        <v>2015</v>
      </c>
      <c r="F4" s="724"/>
      <c r="G4" s="724"/>
      <c r="H4" s="724"/>
      <c r="I4" s="724">
        <v>2</v>
      </c>
      <c r="J4" s="724">
        <v>2</v>
      </c>
      <c r="K4" s="724">
        <v>5</v>
      </c>
      <c r="L4" s="724"/>
      <c r="M4" s="724"/>
      <c r="N4" s="724"/>
      <c r="O4" s="724">
        <v>63975</v>
      </c>
      <c r="P4" s="724">
        <v>4468</v>
      </c>
      <c r="Q4" s="724"/>
      <c r="R4" s="724"/>
      <c r="S4" s="724"/>
      <c r="T4" s="724">
        <v>42611</v>
      </c>
      <c r="U4" s="724">
        <v>1501</v>
      </c>
      <c r="V4" s="724">
        <v>1680</v>
      </c>
      <c r="X4" s="723" t="str">
        <f t="shared" si="1"/>
        <v>7313F</v>
      </c>
    </row>
    <row r="5" spans="1:24">
      <c r="A5" s="719" t="str">
        <f t="shared" si="0"/>
        <v>7317F2015</v>
      </c>
      <c r="B5" s="720" t="s">
        <v>578</v>
      </c>
      <c r="C5" s="729">
        <v>7317</v>
      </c>
      <c r="D5" s="724" t="s">
        <v>603</v>
      </c>
      <c r="E5" s="724">
        <v>2015</v>
      </c>
      <c r="F5" s="724"/>
      <c r="G5" s="724"/>
      <c r="H5" s="724"/>
      <c r="I5" s="724"/>
      <c r="J5" s="724"/>
      <c r="K5" s="724">
        <v>1</v>
      </c>
      <c r="L5" s="724"/>
      <c r="M5" s="724"/>
      <c r="N5" s="724"/>
      <c r="O5" s="724"/>
      <c r="P5" s="724"/>
      <c r="Q5" s="724"/>
      <c r="R5" s="724"/>
      <c r="S5" s="724"/>
      <c r="T5" s="724"/>
      <c r="U5" s="724"/>
      <c r="V5" s="724">
        <v>73</v>
      </c>
      <c r="X5" s="723" t="str">
        <f t="shared" si="1"/>
        <v>7317F</v>
      </c>
    </row>
    <row r="6" spans="1:24">
      <c r="A6" s="719" t="str">
        <f t="shared" si="0"/>
        <v>7327F2015</v>
      </c>
      <c r="B6" s="720" t="s">
        <v>578</v>
      </c>
      <c r="C6" s="729">
        <v>7327</v>
      </c>
      <c r="D6" s="724" t="s">
        <v>605</v>
      </c>
      <c r="E6" s="724">
        <v>2015</v>
      </c>
      <c r="F6" s="724"/>
      <c r="G6" s="724"/>
      <c r="H6" s="724">
        <v>1</v>
      </c>
      <c r="I6" s="724">
        <v>1</v>
      </c>
      <c r="J6" s="724">
        <v>11</v>
      </c>
      <c r="K6" s="724">
        <v>14</v>
      </c>
      <c r="L6" s="724"/>
      <c r="M6" s="724"/>
      <c r="N6" s="724">
        <v>172620</v>
      </c>
      <c r="O6" s="724">
        <v>85000</v>
      </c>
      <c r="P6" s="724">
        <v>92800</v>
      </c>
      <c r="Q6" s="724"/>
      <c r="R6" s="724"/>
      <c r="S6" s="724">
        <v>21206</v>
      </c>
      <c r="T6" s="724">
        <v>28283</v>
      </c>
      <c r="U6" s="724">
        <v>56824</v>
      </c>
      <c r="V6" s="724">
        <v>24277</v>
      </c>
      <c r="X6" s="723" t="str">
        <f t="shared" si="1"/>
        <v>7327F</v>
      </c>
    </row>
    <row r="7" spans="1:24">
      <c r="A7" s="719" t="str">
        <f t="shared" si="0"/>
        <v>7366F2015</v>
      </c>
      <c r="B7" s="720" t="s">
        <v>578</v>
      </c>
      <c r="C7" s="729">
        <v>7366</v>
      </c>
      <c r="D7" s="724" t="s">
        <v>607</v>
      </c>
      <c r="E7" s="724">
        <v>2015</v>
      </c>
      <c r="F7" s="724"/>
      <c r="G7" s="724"/>
      <c r="H7" s="724"/>
      <c r="I7" s="724"/>
      <c r="J7" s="724">
        <v>3</v>
      </c>
      <c r="K7" s="724">
        <v>10</v>
      </c>
      <c r="L7" s="724"/>
      <c r="M7" s="724"/>
      <c r="N7" s="724"/>
      <c r="O7" s="724"/>
      <c r="P7" s="724">
        <v>17956</v>
      </c>
      <c r="Q7" s="724"/>
      <c r="R7" s="724"/>
      <c r="S7" s="724"/>
      <c r="T7" s="724"/>
      <c r="U7" s="724">
        <v>7583</v>
      </c>
      <c r="V7" s="724">
        <v>6853</v>
      </c>
      <c r="X7" s="723" t="str">
        <f t="shared" si="1"/>
        <v>7366F</v>
      </c>
    </row>
    <row r="8" spans="1:24">
      <c r="A8" s="719" t="str">
        <f t="shared" si="0"/>
        <v>8709F2015</v>
      </c>
      <c r="B8" s="720" t="s">
        <v>578</v>
      </c>
      <c r="C8" s="729">
        <v>8709</v>
      </c>
      <c r="D8" s="724" t="s">
        <v>609</v>
      </c>
      <c r="E8" s="724">
        <v>2015</v>
      </c>
      <c r="F8" s="724"/>
      <c r="G8" s="724"/>
      <c r="H8" s="724"/>
      <c r="I8" s="724"/>
      <c r="J8" s="724">
        <v>3</v>
      </c>
      <c r="K8" s="724">
        <v>3</v>
      </c>
      <c r="L8" s="724"/>
      <c r="M8" s="724"/>
      <c r="N8" s="724"/>
      <c r="O8" s="724"/>
      <c r="P8" s="724">
        <v>6022</v>
      </c>
      <c r="Q8" s="724"/>
      <c r="R8" s="724"/>
      <c r="S8" s="724"/>
      <c r="T8" s="724"/>
      <c r="U8" s="724">
        <v>2747</v>
      </c>
      <c r="V8" s="724">
        <v>15876</v>
      </c>
      <c r="X8" s="723" t="str">
        <f t="shared" si="1"/>
        <v>8709F</v>
      </c>
    </row>
    <row r="9" spans="1:24">
      <c r="A9" s="719" t="str">
        <f t="shared" si="0"/>
        <v>6843F2016</v>
      </c>
      <c r="B9" s="720" t="s">
        <v>578</v>
      </c>
      <c r="C9" s="729">
        <v>6843</v>
      </c>
      <c r="D9" s="724" t="s">
        <v>595</v>
      </c>
      <c r="E9" s="724">
        <v>2016</v>
      </c>
      <c r="F9" s="724"/>
      <c r="G9" s="724"/>
      <c r="H9" s="724"/>
      <c r="I9" s="724">
        <v>1</v>
      </c>
      <c r="J9" s="724">
        <v>16</v>
      </c>
      <c r="K9" s="724">
        <v>19</v>
      </c>
      <c r="L9" s="724"/>
      <c r="M9" s="724"/>
      <c r="N9" s="724"/>
      <c r="O9" s="724">
        <v>124115</v>
      </c>
      <c r="P9" s="724">
        <v>166705</v>
      </c>
      <c r="Q9" s="724"/>
      <c r="R9" s="724"/>
      <c r="S9" s="724"/>
      <c r="T9" s="724">
        <v>27886</v>
      </c>
      <c r="U9" s="724">
        <v>130249</v>
      </c>
      <c r="V9" s="724">
        <v>10393</v>
      </c>
      <c r="X9" s="723" t="str">
        <f t="shared" si="1"/>
        <v>6843F</v>
      </c>
    </row>
    <row r="10" spans="1:24">
      <c r="A10" s="719" t="str">
        <f t="shared" si="0"/>
        <v>7309F2016</v>
      </c>
      <c r="B10" s="720" t="s">
        <v>578</v>
      </c>
      <c r="C10" s="729">
        <v>7309</v>
      </c>
      <c r="D10" s="724" t="s">
        <v>599</v>
      </c>
      <c r="E10" s="724">
        <v>2016</v>
      </c>
      <c r="F10" s="724"/>
      <c r="G10" s="724"/>
      <c r="H10" s="724">
        <v>1</v>
      </c>
      <c r="I10" s="724">
        <v>2</v>
      </c>
      <c r="J10" s="724">
        <v>4</v>
      </c>
      <c r="K10" s="724">
        <v>5</v>
      </c>
      <c r="L10" s="724"/>
      <c r="M10" s="724"/>
      <c r="N10" s="724">
        <v>159870</v>
      </c>
      <c r="O10" s="724">
        <v>187648</v>
      </c>
      <c r="P10" s="724">
        <v>114932</v>
      </c>
      <c r="Q10" s="724"/>
      <c r="R10" s="724"/>
      <c r="S10" s="724">
        <v>62098</v>
      </c>
      <c r="T10" s="724">
        <v>66512</v>
      </c>
      <c r="U10" s="724">
        <v>107158</v>
      </c>
      <c r="V10" s="724">
        <v>7789</v>
      </c>
      <c r="X10" s="723" t="str">
        <f t="shared" si="1"/>
        <v>7309F</v>
      </c>
    </row>
    <row r="11" spans="1:24">
      <c r="A11" s="719" t="str">
        <f t="shared" si="0"/>
        <v>7313F2016</v>
      </c>
      <c r="B11" s="720" t="s">
        <v>578</v>
      </c>
      <c r="C11" s="728">
        <v>7313</v>
      </c>
      <c r="D11" s="720" t="s">
        <v>601</v>
      </c>
      <c r="E11" s="721">
        <v>2016</v>
      </c>
      <c r="J11" s="722">
        <v>2</v>
      </c>
      <c r="K11" s="722">
        <v>5</v>
      </c>
      <c r="P11" s="722">
        <v>8887</v>
      </c>
      <c r="U11" s="727">
        <v>33715</v>
      </c>
      <c r="V11" s="727">
        <v>11719</v>
      </c>
      <c r="X11" s="723" t="str">
        <f t="shared" si="1"/>
        <v>7313F</v>
      </c>
    </row>
    <row r="12" spans="1:24">
      <c r="A12" s="719" t="str">
        <f t="shared" si="0"/>
        <v>7317F2016</v>
      </c>
      <c r="B12" s="720" t="s">
        <v>578</v>
      </c>
      <c r="C12" s="728">
        <v>7317</v>
      </c>
      <c r="D12" s="720" t="s">
        <v>603</v>
      </c>
      <c r="E12" s="721">
        <v>2016</v>
      </c>
      <c r="K12" s="722">
        <v>1</v>
      </c>
      <c r="V12" s="727">
        <v>1173</v>
      </c>
      <c r="X12" s="723" t="str">
        <f t="shared" si="1"/>
        <v>7317F</v>
      </c>
    </row>
    <row r="13" spans="1:24">
      <c r="A13" s="719" t="str">
        <f t="shared" si="0"/>
        <v>7327F2016</v>
      </c>
      <c r="B13" s="720" t="s">
        <v>578</v>
      </c>
      <c r="C13" s="728">
        <v>7327</v>
      </c>
      <c r="D13" s="720" t="s">
        <v>605</v>
      </c>
      <c r="E13" s="721">
        <v>2016</v>
      </c>
      <c r="H13" s="722">
        <v>1</v>
      </c>
      <c r="I13" s="722">
        <v>2</v>
      </c>
      <c r="J13" s="722">
        <v>17</v>
      </c>
      <c r="K13" s="722">
        <v>18</v>
      </c>
      <c r="N13" s="722">
        <v>299929</v>
      </c>
      <c r="O13" s="722">
        <v>74470</v>
      </c>
      <c r="P13" s="722">
        <v>466320</v>
      </c>
      <c r="S13" s="727">
        <v>40972</v>
      </c>
      <c r="T13" s="727">
        <v>19492</v>
      </c>
      <c r="U13" s="727">
        <v>139467</v>
      </c>
      <c r="V13" s="727">
        <v>13059</v>
      </c>
      <c r="X13" s="723" t="str">
        <f t="shared" si="1"/>
        <v>7327F</v>
      </c>
    </row>
    <row r="14" spans="1:24">
      <c r="A14" s="719" t="str">
        <f t="shared" si="0"/>
        <v>7366F2016</v>
      </c>
      <c r="B14" s="720" t="s">
        <v>578</v>
      </c>
      <c r="C14" s="728">
        <v>7366</v>
      </c>
      <c r="D14" s="720" t="s">
        <v>607</v>
      </c>
      <c r="E14" s="721">
        <v>2016</v>
      </c>
      <c r="I14" s="722">
        <v>2</v>
      </c>
      <c r="J14" s="722">
        <v>1</v>
      </c>
      <c r="K14" s="722">
        <v>7</v>
      </c>
      <c r="O14" s="722">
        <v>54355</v>
      </c>
      <c r="P14" s="722">
        <v>6921</v>
      </c>
      <c r="T14" s="727">
        <v>11700</v>
      </c>
      <c r="U14" s="727">
        <v>22655</v>
      </c>
      <c r="V14" s="727">
        <v>35095</v>
      </c>
      <c r="X14" s="723" t="str">
        <f t="shared" si="1"/>
        <v>7366F</v>
      </c>
    </row>
    <row r="15" spans="1:24">
      <c r="A15" s="719" t="str">
        <f t="shared" si="0"/>
        <v>8709F2016</v>
      </c>
      <c r="B15" s="720" t="s">
        <v>578</v>
      </c>
      <c r="C15" s="728">
        <v>8709</v>
      </c>
      <c r="D15" s="720" t="s">
        <v>609</v>
      </c>
      <c r="E15" s="721">
        <v>2016</v>
      </c>
      <c r="J15" s="722">
        <v>2</v>
      </c>
      <c r="K15" s="722">
        <v>2</v>
      </c>
      <c r="P15" s="722">
        <v>49265</v>
      </c>
      <c r="U15" s="727">
        <v>20127</v>
      </c>
      <c r="V15" s="727">
        <v>2564</v>
      </c>
      <c r="X15" s="723" t="str">
        <f t="shared" si="1"/>
        <v>8709F</v>
      </c>
    </row>
    <row r="16" spans="1:24">
      <c r="A16" s="719" t="str">
        <f t="shared" si="0"/>
        <v>6843F2017</v>
      </c>
      <c r="B16" s="720" t="s">
        <v>578</v>
      </c>
      <c r="C16" s="728">
        <v>6843</v>
      </c>
      <c r="D16" s="720" t="s">
        <v>595</v>
      </c>
      <c r="E16" s="721">
        <v>2017</v>
      </c>
      <c r="H16" s="722">
        <v>2</v>
      </c>
      <c r="J16" s="722">
        <v>4</v>
      </c>
      <c r="K16" s="722">
        <v>8</v>
      </c>
      <c r="N16" s="722">
        <v>730144</v>
      </c>
      <c r="P16" s="722">
        <v>34655</v>
      </c>
      <c r="S16" s="727">
        <v>544822</v>
      </c>
      <c r="U16" s="727">
        <v>18061</v>
      </c>
      <c r="V16" s="727">
        <v>4811</v>
      </c>
      <c r="X16" s="723" t="str">
        <f t="shared" si="1"/>
        <v>6843F</v>
      </c>
    </row>
    <row r="17" spans="1:24">
      <c r="A17" s="719" t="str">
        <f t="shared" si="0"/>
        <v>6872F2017</v>
      </c>
      <c r="B17" s="720" t="s">
        <v>578</v>
      </c>
      <c r="C17" s="728">
        <v>6872</v>
      </c>
      <c r="D17" s="720" t="s">
        <v>597</v>
      </c>
      <c r="E17" s="721">
        <v>2017</v>
      </c>
      <c r="J17" s="722">
        <v>1</v>
      </c>
      <c r="P17" s="722">
        <v>2944</v>
      </c>
      <c r="U17" s="727">
        <v>13535</v>
      </c>
      <c r="X17" s="723" t="str">
        <f t="shared" si="1"/>
        <v>6872F</v>
      </c>
    </row>
    <row r="18" spans="1:24">
      <c r="A18" s="719" t="str">
        <f t="shared" si="0"/>
        <v>7309F2017</v>
      </c>
      <c r="B18" s="720" t="s">
        <v>578</v>
      </c>
      <c r="C18" s="728">
        <v>7309</v>
      </c>
      <c r="D18" s="720" t="s">
        <v>599</v>
      </c>
      <c r="E18" s="721">
        <v>2017</v>
      </c>
      <c r="I18" s="722">
        <v>1</v>
      </c>
      <c r="J18" s="722">
        <v>6</v>
      </c>
      <c r="K18" s="722">
        <v>10</v>
      </c>
      <c r="O18" s="722">
        <v>54994</v>
      </c>
      <c r="P18" s="722">
        <v>114579</v>
      </c>
      <c r="T18" s="727">
        <v>74592</v>
      </c>
      <c r="U18" s="727">
        <v>31325</v>
      </c>
      <c r="V18" s="727">
        <v>11505</v>
      </c>
      <c r="X18" s="723" t="str">
        <f t="shared" si="1"/>
        <v>7309F</v>
      </c>
    </row>
    <row r="19" spans="1:24">
      <c r="A19" s="719" t="str">
        <f t="shared" si="0"/>
        <v>7317F2017</v>
      </c>
      <c r="B19" s="720" t="s">
        <v>578</v>
      </c>
      <c r="C19" s="728">
        <v>7317</v>
      </c>
      <c r="D19" s="720" t="s">
        <v>603</v>
      </c>
      <c r="E19" s="721">
        <v>2017</v>
      </c>
      <c r="I19" s="722">
        <v>2</v>
      </c>
      <c r="K19" s="722">
        <v>1</v>
      </c>
      <c r="O19" s="722">
        <v>35260</v>
      </c>
      <c r="T19" s="727">
        <v>38888</v>
      </c>
      <c r="V19" s="727">
        <v>3596</v>
      </c>
      <c r="X19" s="723" t="str">
        <f t="shared" si="1"/>
        <v>7317F</v>
      </c>
    </row>
    <row r="20" spans="1:24">
      <c r="A20" s="719" t="str">
        <f t="shared" si="0"/>
        <v>7327F2017</v>
      </c>
      <c r="B20" s="720" t="s">
        <v>578</v>
      </c>
      <c r="C20" s="728">
        <v>7327</v>
      </c>
      <c r="D20" s="720" t="s">
        <v>605</v>
      </c>
      <c r="E20" s="721">
        <v>2017</v>
      </c>
      <c r="H20" s="722">
        <v>1</v>
      </c>
      <c r="I20" s="722">
        <v>1</v>
      </c>
      <c r="J20" s="722">
        <v>6</v>
      </c>
      <c r="K20" s="722">
        <v>11</v>
      </c>
      <c r="N20" s="722">
        <v>166166</v>
      </c>
      <c r="O20" s="722">
        <v>116776</v>
      </c>
      <c r="P20" s="722">
        <v>184408</v>
      </c>
      <c r="S20" s="727">
        <v>32077</v>
      </c>
      <c r="T20" s="727">
        <v>15000</v>
      </c>
      <c r="U20" s="727">
        <v>70457</v>
      </c>
      <c r="V20" s="727">
        <v>10553</v>
      </c>
      <c r="X20" s="723" t="str">
        <f t="shared" si="1"/>
        <v>7327F</v>
      </c>
    </row>
    <row r="21" spans="1:24">
      <c r="A21" s="719" t="str">
        <f t="shared" si="0"/>
        <v>7366F2017</v>
      </c>
      <c r="B21" s="720" t="s">
        <v>578</v>
      </c>
      <c r="C21" s="728">
        <v>7366</v>
      </c>
      <c r="D21" s="720" t="s">
        <v>607</v>
      </c>
      <c r="E21" s="721">
        <v>2017</v>
      </c>
      <c r="H21" s="722">
        <v>2</v>
      </c>
      <c r="I21" s="722">
        <v>2</v>
      </c>
      <c r="J21" s="722">
        <v>4</v>
      </c>
      <c r="K21" s="722">
        <v>8</v>
      </c>
      <c r="N21" s="722">
        <v>392525</v>
      </c>
      <c r="O21" s="722">
        <v>29439</v>
      </c>
      <c r="P21" s="722">
        <v>32608</v>
      </c>
      <c r="S21" s="727">
        <v>133412</v>
      </c>
      <c r="T21" s="727">
        <v>7717</v>
      </c>
      <c r="U21" s="727">
        <v>28055</v>
      </c>
      <c r="V21" s="727">
        <v>9658</v>
      </c>
      <c r="X21" s="723" t="str">
        <f t="shared" si="1"/>
        <v>7366F</v>
      </c>
    </row>
    <row r="22" spans="1:24">
      <c r="A22" s="719" t="str">
        <f t="shared" si="0"/>
        <v>8709F2017</v>
      </c>
      <c r="B22" s="720" t="s">
        <v>578</v>
      </c>
      <c r="C22" s="728">
        <v>8709</v>
      </c>
      <c r="D22" s="720" t="s">
        <v>609</v>
      </c>
      <c r="E22" s="721">
        <v>2017</v>
      </c>
      <c r="H22" s="722">
        <v>1</v>
      </c>
      <c r="J22" s="722">
        <v>1</v>
      </c>
      <c r="K22" s="722">
        <v>6</v>
      </c>
      <c r="N22" s="722">
        <v>327184</v>
      </c>
      <c r="P22" s="722">
        <v>20000</v>
      </c>
      <c r="S22" s="727">
        <v>302814</v>
      </c>
      <c r="U22" s="727">
        <v>0</v>
      </c>
      <c r="V22" s="727">
        <v>2648</v>
      </c>
      <c r="X22" s="723" t="str">
        <f t="shared" si="1"/>
        <v>8709F</v>
      </c>
    </row>
    <row r="23" spans="1:24">
      <c r="A23" s="719" t="str">
        <f t="shared" si="0"/>
        <v>6826F2018</v>
      </c>
      <c r="B23" s="720" t="s">
        <v>578</v>
      </c>
      <c r="C23" s="728">
        <v>6826</v>
      </c>
      <c r="D23" s="720" t="s">
        <v>593</v>
      </c>
      <c r="E23" s="721">
        <v>2018</v>
      </c>
      <c r="J23" s="722">
        <v>1</v>
      </c>
      <c r="P23" s="722">
        <v>16693</v>
      </c>
      <c r="U23" s="727">
        <v>61873</v>
      </c>
      <c r="X23" s="723" t="str">
        <f t="shared" si="1"/>
        <v>6826F</v>
      </c>
    </row>
    <row r="24" spans="1:24">
      <c r="A24" s="719" t="str">
        <f t="shared" si="0"/>
        <v>7309F2018</v>
      </c>
      <c r="B24" s="720" t="s">
        <v>578</v>
      </c>
      <c r="C24" s="728">
        <v>7309</v>
      </c>
      <c r="D24" s="720" t="s">
        <v>599</v>
      </c>
      <c r="E24" s="721">
        <v>2018</v>
      </c>
      <c r="J24" s="722">
        <v>1</v>
      </c>
      <c r="K24" s="722">
        <v>1</v>
      </c>
      <c r="P24" s="722">
        <v>12500</v>
      </c>
      <c r="U24" s="727">
        <v>2500</v>
      </c>
      <c r="V24" s="727">
        <v>366</v>
      </c>
      <c r="X24" s="723" t="str">
        <f t="shared" si="1"/>
        <v>7309F</v>
      </c>
    </row>
    <row r="25" spans="1:24">
      <c r="A25" s="719" t="str">
        <f t="shared" si="0"/>
        <v>7313F2018</v>
      </c>
      <c r="B25" s="720" t="s">
        <v>578</v>
      </c>
      <c r="C25" s="728">
        <v>7313</v>
      </c>
      <c r="D25" s="720" t="s">
        <v>601</v>
      </c>
      <c r="E25" s="721">
        <v>2018</v>
      </c>
      <c r="I25" s="722">
        <v>1</v>
      </c>
      <c r="J25" s="722">
        <v>2</v>
      </c>
      <c r="K25" s="722">
        <v>7</v>
      </c>
      <c r="O25" s="722">
        <v>35568</v>
      </c>
      <c r="P25" s="722">
        <v>6261</v>
      </c>
      <c r="T25" s="727">
        <v>0</v>
      </c>
      <c r="U25" s="727">
        <v>28115</v>
      </c>
      <c r="V25" s="727">
        <v>9427</v>
      </c>
      <c r="X25" s="723" t="str">
        <f t="shared" si="1"/>
        <v>7313F</v>
      </c>
    </row>
    <row r="26" spans="1:24">
      <c r="A26" s="719" t="str">
        <f t="shared" si="0"/>
        <v>7317F2018</v>
      </c>
      <c r="B26" s="720" t="s">
        <v>578</v>
      </c>
      <c r="C26" s="728">
        <v>7317</v>
      </c>
      <c r="D26" s="720" t="s">
        <v>603</v>
      </c>
      <c r="E26" s="721">
        <v>2018</v>
      </c>
      <c r="J26" s="722">
        <v>1</v>
      </c>
      <c r="K26" s="722">
        <v>1</v>
      </c>
      <c r="P26" s="722">
        <v>1416</v>
      </c>
      <c r="U26" s="727">
        <v>645</v>
      </c>
      <c r="V26" s="727">
        <v>468</v>
      </c>
      <c r="X26" s="723" t="str">
        <f t="shared" si="1"/>
        <v>7317F</v>
      </c>
    </row>
    <row r="27" spans="1:24">
      <c r="A27" s="719" t="str">
        <f t="shared" si="0"/>
        <v>7327F2018</v>
      </c>
      <c r="B27" s="720" t="s">
        <v>578</v>
      </c>
      <c r="C27" s="728">
        <v>7327</v>
      </c>
      <c r="D27" s="720" t="s">
        <v>605</v>
      </c>
      <c r="E27" s="721">
        <v>2018</v>
      </c>
      <c r="J27" s="722">
        <v>10</v>
      </c>
      <c r="K27" s="722">
        <v>10</v>
      </c>
      <c r="P27" s="722">
        <v>136392</v>
      </c>
      <c r="U27" s="727">
        <v>65409</v>
      </c>
      <c r="V27" s="727">
        <v>4610</v>
      </c>
      <c r="X27" s="723" t="str">
        <f t="shared" si="1"/>
        <v>7327F</v>
      </c>
    </row>
    <row r="28" spans="1:24">
      <c r="A28" s="719" t="str">
        <f t="shared" si="0"/>
        <v>7366F2018</v>
      </c>
      <c r="B28" s="720" t="s">
        <v>578</v>
      </c>
      <c r="C28" s="728">
        <v>7366</v>
      </c>
      <c r="D28" s="720" t="s">
        <v>607</v>
      </c>
      <c r="E28" s="721">
        <v>2018</v>
      </c>
      <c r="I28" s="722">
        <v>2</v>
      </c>
      <c r="J28" s="722">
        <v>7</v>
      </c>
      <c r="K28" s="722">
        <v>12</v>
      </c>
      <c r="O28" s="722">
        <v>234237</v>
      </c>
      <c r="P28" s="722">
        <v>133108</v>
      </c>
      <c r="T28" s="727">
        <v>85809</v>
      </c>
      <c r="U28" s="727">
        <v>38637</v>
      </c>
      <c r="V28" s="727">
        <v>9650</v>
      </c>
      <c r="X28" s="723" t="str">
        <f t="shared" si="1"/>
        <v>7366F</v>
      </c>
    </row>
    <row r="29" spans="1:24">
      <c r="A29" s="719" t="str">
        <f t="shared" si="0"/>
        <v>8709F2018</v>
      </c>
      <c r="B29" s="720" t="s">
        <v>578</v>
      </c>
      <c r="C29" s="728">
        <v>8709</v>
      </c>
      <c r="D29" s="720" t="s">
        <v>609</v>
      </c>
      <c r="E29" s="721">
        <v>2018</v>
      </c>
      <c r="J29" s="722">
        <v>2</v>
      </c>
      <c r="K29" s="722">
        <v>3</v>
      </c>
      <c r="P29" s="722">
        <v>43987</v>
      </c>
      <c r="U29" s="727">
        <v>43131</v>
      </c>
      <c r="V29" s="727">
        <v>653</v>
      </c>
      <c r="X29" s="723" t="str">
        <f t="shared" si="1"/>
        <v>8709F</v>
      </c>
    </row>
    <row r="30" spans="1:24">
      <c r="A30" s="719" t="str">
        <f t="shared" si="0"/>
        <v>6824F2019</v>
      </c>
      <c r="B30" s="720" t="s">
        <v>578</v>
      </c>
      <c r="C30" s="728">
        <v>6824</v>
      </c>
      <c r="D30" s="720" t="s">
        <v>591</v>
      </c>
      <c r="E30" s="721">
        <v>2019</v>
      </c>
      <c r="J30" s="722">
        <v>1</v>
      </c>
      <c r="P30" s="722">
        <v>1349</v>
      </c>
      <c r="U30" s="727">
        <v>20417</v>
      </c>
      <c r="X30" s="723" t="str">
        <f t="shared" si="1"/>
        <v>6824F</v>
      </c>
    </row>
    <row r="31" spans="1:24">
      <c r="A31" s="719" t="str">
        <f t="shared" si="0"/>
        <v>6826F2019</v>
      </c>
      <c r="B31" s="720" t="s">
        <v>578</v>
      </c>
      <c r="C31" s="728">
        <v>6826</v>
      </c>
      <c r="D31" s="720" t="s">
        <v>593</v>
      </c>
      <c r="E31" s="721">
        <v>2019</v>
      </c>
      <c r="I31" s="722">
        <v>1</v>
      </c>
      <c r="O31" s="722">
        <v>130367</v>
      </c>
      <c r="T31" s="727">
        <v>47862</v>
      </c>
      <c r="X31" s="723" t="str">
        <f t="shared" si="1"/>
        <v>6826F</v>
      </c>
    </row>
    <row r="32" spans="1:24">
      <c r="A32" s="719" t="str">
        <f t="shared" si="0"/>
        <v>7309F2019</v>
      </c>
      <c r="B32" s="720" t="s">
        <v>578</v>
      </c>
      <c r="C32" s="728">
        <v>7309</v>
      </c>
      <c r="D32" s="720" t="s">
        <v>599</v>
      </c>
      <c r="E32" s="721">
        <v>2019</v>
      </c>
      <c r="I32" s="722">
        <v>4</v>
      </c>
      <c r="J32" s="722">
        <v>4</v>
      </c>
      <c r="K32" s="722">
        <v>3</v>
      </c>
      <c r="O32" s="722">
        <v>66000</v>
      </c>
      <c r="P32" s="722">
        <v>62321</v>
      </c>
      <c r="T32" s="727">
        <v>3500</v>
      </c>
      <c r="U32" s="727">
        <v>59401</v>
      </c>
      <c r="V32" s="727">
        <v>673</v>
      </c>
      <c r="X32" s="723" t="str">
        <f t="shared" si="1"/>
        <v>7309F</v>
      </c>
    </row>
    <row r="33" spans="1:24">
      <c r="A33" s="719" t="str">
        <f t="shared" si="0"/>
        <v>7313F2019</v>
      </c>
      <c r="B33" s="720" t="s">
        <v>578</v>
      </c>
      <c r="C33" s="728">
        <v>7313</v>
      </c>
      <c r="D33" s="720" t="s">
        <v>601</v>
      </c>
      <c r="E33" s="721">
        <v>2019</v>
      </c>
      <c r="J33" s="722">
        <v>2</v>
      </c>
      <c r="K33" s="722">
        <v>2</v>
      </c>
      <c r="P33" s="722">
        <v>27097</v>
      </c>
      <c r="U33" s="727">
        <v>48375</v>
      </c>
      <c r="V33" s="727">
        <v>1797</v>
      </c>
      <c r="X33" s="723" t="str">
        <f t="shared" si="1"/>
        <v>7313F</v>
      </c>
    </row>
    <row r="34" spans="1:24">
      <c r="A34" s="719" t="str">
        <f t="shared" si="0"/>
        <v>7317F2019</v>
      </c>
      <c r="B34" s="720" t="s">
        <v>578</v>
      </c>
      <c r="C34" s="728">
        <v>7317</v>
      </c>
      <c r="D34" s="720" t="s">
        <v>603</v>
      </c>
      <c r="E34" s="721">
        <v>2019</v>
      </c>
      <c r="K34" s="722">
        <v>1</v>
      </c>
      <c r="V34" s="727">
        <v>532</v>
      </c>
      <c r="X34" s="723" t="str">
        <f t="shared" si="1"/>
        <v>7317F</v>
      </c>
    </row>
    <row r="35" spans="1:24">
      <c r="A35" s="719" t="str">
        <f t="shared" si="0"/>
        <v>7327F2019</v>
      </c>
      <c r="B35" s="720" t="s">
        <v>615</v>
      </c>
      <c r="C35" s="728">
        <v>7327</v>
      </c>
      <c r="D35" s="720" t="s">
        <v>605</v>
      </c>
      <c r="E35" s="721">
        <v>2019</v>
      </c>
      <c r="I35" s="722">
        <v>1</v>
      </c>
      <c r="J35" s="722">
        <v>7</v>
      </c>
      <c r="K35" s="722">
        <v>5</v>
      </c>
      <c r="O35" s="722">
        <v>108270</v>
      </c>
      <c r="P35" s="722">
        <v>83425</v>
      </c>
      <c r="T35" s="727">
        <v>19560</v>
      </c>
      <c r="U35" s="727">
        <v>28392</v>
      </c>
      <c r="V35" s="727">
        <v>3910</v>
      </c>
      <c r="X35" s="723" t="str">
        <f t="shared" si="1"/>
        <v>7327F</v>
      </c>
    </row>
    <row r="36" spans="1:24">
      <c r="A36" s="719" t="str">
        <f t="shared" si="0"/>
        <v>7366F2019</v>
      </c>
      <c r="B36" s="720" t="s">
        <v>616</v>
      </c>
      <c r="C36" s="728">
        <v>7366</v>
      </c>
      <c r="D36" s="720" t="s">
        <v>607</v>
      </c>
      <c r="E36" s="721">
        <v>2019</v>
      </c>
      <c r="H36" s="722">
        <v>1</v>
      </c>
      <c r="I36" s="722">
        <v>1</v>
      </c>
      <c r="J36" s="722">
        <v>12</v>
      </c>
      <c r="K36" s="722">
        <v>28</v>
      </c>
      <c r="N36" s="722">
        <v>231692</v>
      </c>
      <c r="O36" s="722">
        <v>109014</v>
      </c>
      <c r="P36" s="722">
        <v>81892</v>
      </c>
      <c r="S36" s="727">
        <v>95514</v>
      </c>
      <c r="T36" s="727">
        <v>42295</v>
      </c>
      <c r="U36" s="727">
        <v>38849</v>
      </c>
      <c r="V36" s="727">
        <v>14441</v>
      </c>
      <c r="X36" s="723" t="str">
        <f t="shared" si="1"/>
        <v>7366F</v>
      </c>
    </row>
    <row r="37" spans="1:24">
      <c r="A37" s="719" t="str">
        <f t="shared" si="0"/>
        <v>8709F2019</v>
      </c>
      <c r="B37" s="720" t="s">
        <v>617</v>
      </c>
      <c r="C37" s="728">
        <v>8709</v>
      </c>
      <c r="D37" s="720" t="s">
        <v>609</v>
      </c>
      <c r="E37" s="721">
        <v>2019</v>
      </c>
      <c r="K37" s="722">
        <v>1</v>
      </c>
      <c r="V37" s="727">
        <v>82</v>
      </c>
      <c r="X37" s="723" t="str">
        <f t="shared" si="1"/>
        <v>8709F</v>
      </c>
    </row>
  </sheetData>
  <sortState xmlns:xlrd2="http://schemas.microsoft.com/office/spreadsheetml/2017/richdata2" ref="A2:V10">
    <sortCondition ref="C2:C10"/>
    <sortCondition ref="E2:E10"/>
  </sortState>
  <phoneticPr fontId="0" type="noConversion"/>
  <pageMargins left="0.7" right="0.7" top="0.75" bottom="0.75" header="0.3" footer="0.3"/>
  <pageSetup orientation="portrait" horizontalDpi="300" verticalDpi="300"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26E21C9-A594-48A0-8F94-CD055ABA8E35}">
  <sheetPr codeName="Sheet6">
    <tabColor rgb="FFFF0000"/>
  </sheetPr>
  <dimension ref="A2:L590"/>
  <sheetViews>
    <sheetView workbookViewId="0">
      <selection activeCell="M34" sqref="M34"/>
    </sheetView>
  </sheetViews>
  <sheetFormatPr defaultColWidth="9.296875" defaultRowHeight="12.9"/>
  <cols>
    <col min="1" max="1" width="9.296875" style="193"/>
    <col min="2" max="2" width="10" style="193" bestFit="1" customWidth="1"/>
    <col min="3" max="3" width="9.296875" style="193"/>
    <col min="4" max="6" width="16.69921875" style="193" bestFit="1" customWidth="1"/>
    <col min="7" max="7" width="16.69921875" style="193" customWidth="1"/>
    <col min="8" max="8" width="29.19921875" customWidth="1"/>
    <col min="9" max="9" width="11.5" customWidth="1"/>
    <col min="10" max="12" width="9.19921875" customWidth="1"/>
    <col min="13" max="16384" width="9.296875" style="193"/>
  </cols>
  <sheetData>
    <row r="2" spans="1:8">
      <c r="A2" s="316" t="s">
        <v>259</v>
      </c>
      <c r="B2" s="316"/>
    </row>
    <row r="3" spans="1:8">
      <c r="A3" s="316" t="s">
        <v>569</v>
      </c>
      <c r="B3" s="316"/>
    </row>
    <row r="4" spans="1:8">
      <c r="A4" s="316" t="s">
        <v>580</v>
      </c>
      <c r="D4" s="275"/>
      <c r="E4" s="276"/>
    </row>
    <row r="5" spans="1:8">
      <c r="A5" s="277" t="s">
        <v>71</v>
      </c>
      <c r="B5" s="277" t="s">
        <v>71</v>
      </c>
      <c r="C5" s="204" t="s">
        <v>255</v>
      </c>
      <c r="D5" s="691">
        <v>42461</v>
      </c>
      <c r="E5" s="691">
        <v>43191</v>
      </c>
      <c r="F5" s="691">
        <v>44287</v>
      </c>
      <c r="G5" s="284"/>
      <c r="H5" s="284"/>
    </row>
    <row r="6" spans="1:8">
      <c r="A6" s="279" t="s">
        <v>257</v>
      </c>
      <c r="B6" s="279" t="s">
        <v>260</v>
      </c>
      <c r="C6" s="278" t="s">
        <v>256</v>
      </c>
      <c r="D6" s="278" t="s">
        <v>258</v>
      </c>
      <c r="E6" s="278" t="s">
        <v>258</v>
      </c>
      <c r="F6" s="278" t="s">
        <v>258</v>
      </c>
      <c r="G6" s="278"/>
    </row>
    <row r="7" spans="1:8">
      <c r="A7" s="281" t="s">
        <v>485</v>
      </c>
      <c r="B7" s="285" t="str">
        <f t="shared" ref="B7:B17" si="0">A7</f>
        <v>6824F</v>
      </c>
      <c r="C7" s="280">
        <v>3</v>
      </c>
      <c r="D7" s="317">
        <v>11.3</v>
      </c>
      <c r="E7" s="193">
        <v>9.93</v>
      </c>
      <c r="F7" s="193">
        <v>10.98</v>
      </c>
      <c r="G7" s="281"/>
      <c r="H7" s="193"/>
    </row>
    <row r="8" spans="1:8">
      <c r="A8" s="281" t="s">
        <v>486</v>
      </c>
      <c r="B8" s="285" t="str">
        <f t="shared" si="0"/>
        <v>6826F</v>
      </c>
      <c r="C8" s="280">
        <v>3</v>
      </c>
      <c r="D8" s="317">
        <v>11.82</v>
      </c>
      <c r="E8" s="193">
        <v>10.39</v>
      </c>
      <c r="F8" s="193">
        <v>10.38</v>
      </c>
      <c r="G8" s="281"/>
    </row>
    <row r="9" spans="1:8">
      <c r="A9" s="281" t="s">
        <v>487</v>
      </c>
      <c r="B9" s="285" t="str">
        <f t="shared" si="0"/>
        <v>6843F</v>
      </c>
      <c r="C9" s="280">
        <v>3</v>
      </c>
      <c r="D9" s="317">
        <v>14.84</v>
      </c>
      <c r="E9" s="193">
        <v>13.17</v>
      </c>
      <c r="F9" s="193">
        <v>13.64</v>
      </c>
      <c r="G9" s="281"/>
    </row>
    <row r="10" spans="1:8">
      <c r="A10" s="282" t="s">
        <v>488</v>
      </c>
      <c r="B10" s="285" t="str">
        <f t="shared" si="0"/>
        <v>6872F</v>
      </c>
      <c r="C10" s="283">
        <v>3</v>
      </c>
      <c r="D10" s="317">
        <v>34.15</v>
      </c>
      <c r="E10" s="193">
        <v>30.02</v>
      </c>
      <c r="F10" s="193">
        <v>28.78</v>
      </c>
      <c r="G10" s="282"/>
    </row>
    <row r="11" spans="1:8">
      <c r="A11" s="281" t="s">
        <v>489</v>
      </c>
      <c r="B11" s="285" t="str">
        <f t="shared" si="0"/>
        <v>7309F</v>
      </c>
      <c r="C11" s="280">
        <v>3</v>
      </c>
      <c r="D11" s="317">
        <v>58.59</v>
      </c>
      <c r="E11" s="193">
        <v>51.11</v>
      </c>
      <c r="F11" s="193">
        <v>46.82</v>
      </c>
      <c r="G11" s="281"/>
    </row>
    <row r="12" spans="1:8">
      <c r="A12" s="281" t="s">
        <v>490</v>
      </c>
      <c r="B12" s="285" t="str">
        <f t="shared" si="0"/>
        <v>7313F</v>
      </c>
      <c r="C12" s="280">
        <v>3</v>
      </c>
      <c r="D12" s="317">
        <v>12.39</v>
      </c>
      <c r="E12" s="193">
        <v>10.75</v>
      </c>
      <c r="F12" s="193">
        <v>10.28</v>
      </c>
      <c r="G12" s="281"/>
    </row>
    <row r="13" spans="1:8">
      <c r="A13" s="281" t="s">
        <v>491</v>
      </c>
      <c r="B13" s="285" t="str">
        <f t="shared" si="0"/>
        <v>7317F</v>
      </c>
      <c r="C13" s="280">
        <v>3</v>
      </c>
      <c r="D13" s="317">
        <v>30.97</v>
      </c>
      <c r="E13" s="193">
        <v>27.2</v>
      </c>
      <c r="F13" s="193">
        <v>26.12</v>
      </c>
      <c r="G13" s="281"/>
    </row>
    <row r="14" spans="1:8">
      <c r="A14" s="282" t="s">
        <v>492</v>
      </c>
      <c r="B14" s="285" t="str">
        <f t="shared" si="0"/>
        <v>7327F</v>
      </c>
      <c r="C14" s="283">
        <v>3</v>
      </c>
      <c r="D14" s="317">
        <v>24.1</v>
      </c>
      <c r="E14" s="193">
        <v>21.91</v>
      </c>
      <c r="F14" s="193">
        <v>24.06</v>
      </c>
      <c r="G14" s="282"/>
    </row>
    <row r="15" spans="1:8">
      <c r="A15" s="282" t="s">
        <v>493</v>
      </c>
      <c r="B15" s="285" t="str">
        <f t="shared" si="0"/>
        <v>7366F</v>
      </c>
      <c r="C15" s="283">
        <v>3</v>
      </c>
      <c r="D15" s="317">
        <v>12.53</v>
      </c>
      <c r="E15" s="193">
        <v>10.87</v>
      </c>
      <c r="F15" s="193">
        <v>12.18</v>
      </c>
      <c r="G15" s="282"/>
    </row>
    <row r="16" spans="1:8">
      <c r="A16" s="282" t="s">
        <v>494</v>
      </c>
      <c r="B16" s="285" t="str">
        <f t="shared" si="0"/>
        <v>8709F</v>
      </c>
      <c r="C16" s="283">
        <v>3</v>
      </c>
      <c r="D16" s="317">
        <v>6.46</v>
      </c>
      <c r="E16" s="193">
        <v>5.61</v>
      </c>
      <c r="F16" s="193">
        <v>6.42</v>
      </c>
      <c r="G16" s="282"/>
    </row>
    <row r="17" spans="1:7">
      <c r="A17" s="282" t="s">
        <v>495</v>
      </c>
      <c r="B17" s="285" t="str">
        <f t="shared" si="0"/>
        <v>8726F</v>
      </c>
      <c r="C17" s="283">
        <v>3</v>
      </c>
      <c r="D17" s="317">
        <v>3.62</v>
      </c>
      <c r="E17" s="193">
        <v>3.18</v>
      </c>
      <c r="F17" s="193">
        <v>3.43</v>
      </c>
      <c r="G17" s="282"/>
    </row>
    <row r="18" spans="1:7">
      <c r="A18" s="281"/>
      <c r="B18" s="285"/>
      <c r="C18" s="280"/>
      <c r="D18" s="317"/>
      <c r="E18" s="317"/>
      <c r="G18" s="281"/>
    </row>
    <row r="19" spans="1:7">
      <c r="A19" s="281"/>
      <c r="B19" s="285"/>
      <c r="C19" s="280"/>
      <c r="D19" s="317"/>
      <c r="E19" s="317"/>
      <c r="G19" s="281"/>
    </row>
    <row r="20" spans="1:7">
      <c r="A20" s="281"/>
      <c r="B20" s="285"/>
      <c r="C20" s="280"/>
      <c r="D20" s="317"/>
      <c r="E20" s="317"/>
      <c r="G20" s="281"/>
    </row>
    <row r="21" spans="1:7">
      <c r="G21" s="281"/>
    </row>
    <row r="22" spans="1:7">
      <c r="G22" s="281"/>
    </row>
    <row r="23" spans="1:7">
      <c r="G23" s="281"/>
    </row>
    <row r="24" spans="1:7">
      <c r="G24" s="281"/>
    </row>
    <row r="25" spans="1:7">
      <c r="G25" s="281"/>
    </row>
    <row r="26" spans="1:7">
      <c r="G26" s="281"/>
    </row>
    <row r="27" spans="1:7">
      <c r="G27" s="408"/>
    </row>
    <row r="28" spans="1:7">
      <c r="G28" s="281"/>
    </row>
    <row r="29" spans="1:7">
      <c r="G29" s="281"/>
    </row>
    <row r="30" spans="1:7">
      <c r="G30" s="281"/>
    </row>
    <row r="31" spans="1:7">
      <c r="G31" s="281"/>
    </row>
    <row r="32" spans="1:7">
      <c r="G32" s="281"/>
    </row>
    <row r="33" spans="7:7">
      <c r="G33" s="408"/>
    </row>
    <row r="34" spans="7:7">
      <c r="G34" s="281"/>
    </row>
    <row r="35" spans="7:7">
      <c r="G35" s="281"/>
    </row>
    <row r="36" spans="7:7">
      <c r="G36" s="281"/>
    </row>
    <row r="37" spans="7:7">
      <c r="G37" s="281"/>
    </row>
    <row r="38" spans="7:7">
      <c r="G38" s="281"/>
    </row>
    <row r="39" spans="7:7">
      <c r="G39" s="281"/>
    </row>
    <row r="40" spans="7:7">
      <c r="G40" s="281"/>
    </row>
    <row r="41" spans="7:7">
      <c r="G41" s="281"/>
    </row>
    <row r="42" spans="7:7">
      <c r="G42" s="282"/>
    </row>
    <row r="43" spans="7:7">
      <c r="G43" s="282"/>
    </row>
    <row r="44" spans="7:7">
      <c r="G44" s="281"/>
    </row>
    <row r="45" spans="7:7">
      <c r="G45" s="281"/>
    </row>
    <row r="46" spans="7:7">
      <c r="G46" s="281"/>
    </row>
    <row r="47" spans="7:7">
      <c r="G47" s="281"/>
    </row>
    <row r="48" spans="7:7">
      <c r="G48" s="281"/>
    </row>
    <row r="49" spans="7:7">
      <c r="G49" s="281"/>
    </row>
    <row r="50" spans="7:7">
      <c r="G50" s="281"/>
    </row>
    <row r="51" spans="7:7">
      <c r="G51" s="282"/>
    </row>
    <row r="52" spans="7:7">
      <c r="G52" s="282"/>
    </row>
    <row r="53" spans="7:7">
      <c r="G53" s="282"/>
    </row>
    <row r="54" spans="7:7">
      <c r="G54" s="282"/>
    </row>
    <row r="55" spans="7:7">
      <c r="G55" s="282"/>
    </row>
    <row r="56" spans="7:7">
      <c r="G56" s="282"/>
    </row>
    <row r="57" spans="7:7">
      <c r="G57" s="282"/>
    </row>
    <row r="58" spans="7:7">
      <c r="G58" s="282"/>
    </row>
    <row r="59" spans="7:7">
      <c r="G59" s="408"/>
    </row>
    <row r="60" spans="7:7">
      <c r="G60" s="408"/>
    </row>
    <row r="61" spans="7:7">
      <c r="G61" s="408"/>
    </row>
    <row r="62" spans="7:7">
      <c r="G62" s="408"/>
    </row>
    <row r="63" spans="7:7">
      <c r="G63" s="408"/>
    </row>
    <row r="64" spans="7:7">
      <c r="G64" s="408"/>
    </row>
    <row r="65" spans="7:7">
      <c r="G65" s="408"/>
    </row>
    <row r="66" spans="7:7">
      <c r="G66" s="408"/>
    </row>
    <row r="67" spans="7:7">
      <c r="G67" s="408"/>
    </row>
    <row r="68" spans="7:7">
      <c r="G68" s="408"/>
    </row>
    <row r="69" spans="7:7">
      <c r="G69" s="408"/>
    </row>
    <row r="70" spans="7:7">
      <c r="G70" s="408"/>
    </row>
    <row r="71" spans="7:7">
      <c r="G71" s="408"/>
    </row>
    <row r="72" spans="7:7">
      <c r="G72" s="408"/>
    </row>
    <row r="73" spans="7:7">
      <c r="G73" s="408"/>
    </row>
    <row r="74" spans="7:7">
      <c r="G74" s="408"/>
    </row>
    <row r="75" spans="7:7">
      <c r="G75" s="408"/>
    </row>
    <row r="76" spans="7:7">
      <c r="G76" s="408"/>
    </row>
    <row r="77" spans="7:7">
      <c r="G77" s="408"/>
    </row>
    <row r="78" spans="7:7">
      <c r="G78" s="408"/>
    </row>
    <row r="79" spans="7:7">
      <c r="G79" s="408"/>
    </row>
    <row r="80" spans="7:7">
      <c r="G80" s="408"/>
    </row>
    <row r="81" spans="7:7">
      <c r="G81" s="408"/>
    </row>
    <row r="82" spans="7:7">
      <c r="G82" s="408"/>
    </row>
    <row r="83" spans="7:7">
      <c r="G83" s="408"/>
    </row>
    <row r="84" spans="7:7">
      <c r="G84" s="408"/>
    </row>
    <row r="85" spans="7:7">
      <c r="G85" s="408"/>
    </row>
    <row r="86" spans="7:7">
      <c r="G86" s="408"/>
    </row>
    <row r="87" spans="7:7">
      <c r="G87" s="408"/>
    </row>
    <row r="88" spans="7:7">
      <c r="G88" s="408"/>
    </row>
    <row r="89" spans="7:7">
      <c r="G89" s="408"/>
    </row>
    <row r="90" spans="7:7">
      <c r="G90" s="408"/>
    </row>
    <row r="91" spans="7:7">
      <c r="G91" s="408"/>
    </row>
    <row r="92" spans="7:7">
      <c r="G92" s="408"/>
    </row>
    <row r="93" spans="7:7">
      <c r="G93" s="408"/>
    </row>
    <row r="94" spans="7:7">
      <c r="G94" s="408"/>
    </row>
    <row r="95" spans="7:7">
      <c r="G95" s="408"/>
    </row>
    <row r="96" spans="7:7">
      <c r="G96" s="408"/>
    </row>
    <row r="97" spans="7:7">
      <c r="G97" s="408"/>
    </row>
    <row r="98" spans="7:7">
      <c r="G98" s="408"/>
    </row>
    <row r="99" spans="7:7">
      <c r="G99" s="408"/>
    </row>
    <row r="100" spans="7:7">
      <c r="G100" s="408"/>
    </row>
    <row r="101" spans="7:7">
      <c r="G101" s="408"/>
    </row>
    <row r="102" spans="7:7">
      <c r="G102" s="408"/>
    </row>
    <row r="103" spans="7:7">
      <c r="G103" s="408"/>
    </row>
    <row r="104" spans="7:7">
      <c r="G104" s="408"/>
    </row>
    <row r="105" spans="7:7">
      <c r="G105" s="408"/>
    </row>
    <row r="106" spans="7:7">
      <c r="G106" s="408"/>
    </row>
    <row r="107" spans="7:7">
      <c r="G107" s="408"/>
    </row>
    <row r="108" spans="7:7">
      <c r="G108" s="408"/>
    </row>
    <row r="109" spans="7:7">
      <c r="G109" s="408"/>
    </row>
    <row r="110" spans="7:7">
      <c r="G110" s="408"/>
    </row>
    <row r="111" spans="7:7">
      <c r="G111" s="408"/>
    </row>
    <row r="112" spans="7:7">
      <c r="G112" s="408"/>
    </row>
    <row r="113" spans="7:7">
      <c r="G113" s="408"/>
    </row>
    <row r="114" spans="7:7">
      <c r="G114" s="408"/>
    </row>
    <row r="115" spans="7:7">
      <c r="G115" s="408"/>
    </row>
    <row r="116" spans="7:7">
      <c r="G116" s="408"/>
    </row>
    <row r="117" spans="7:7">
      <c r="G117" s="408"/>
    </row>
    <row r="118" spans="7:7">
      <c r="G118" s="408"/>
    </row>
    <row r="119" spans="7:7">
      <c r="G119" s="408"/>
    </row>
    <row r="120" spans="7:7">
      <c r="G120" s="408"/>
    </row>
    <row r="121" spans="7:7">
      <c r="G121" s="408"/>
    </row>
    <row r="122" spans="7:7">
      <c r="G122" s="408"/>
    </row>
    <row r="123" spans="7:7">
      <c r="G123" s="408"/>
    </row>
    <row r="124" spans="7:7">
      <c r="G124" s="408"/>
    </row>
    <row r="125" spans="7:7">
      <c r="G125" s="408"/>
    </row>
    <row r="126" spans="7:7">
      <c r="G126" s="408"/>
    </row>
    <row r="127" spans="7:7">
      <c r="G127" s="408"/>
    </row>
    <row r="128" spans="7:7">
      <c r="G128" s="408"/>
    </row>
    <row r="129" spans="7:7">
      <c r="G129" s="408"/>
    </row>
    <row r="130" spans="7:7">
      <c r="G130" s="408"/>
    </row>
    <row r="131" spans="7:7">
      <c r="G131" s="408"/>
    </row>
    <row r="132" spans="7:7">
      <c r="G132" s="408"/>
    </row>
    <row r="133" spans="7:7">
      <c r="G133" s="408"/>
    </row>
    <row r="134" spans="7:7">
      <c r="G134" s="408"/>
    </row>
    <row r="135" spans="7:7">
      <c r="G135" s="408"/>
    </row>
    <row r="136" spans="7:7">
      <c r="G136" s="408"/>
    </row>
    <row r="137" spans="7:7">
      <c r="G137" s="408"/>
    </row>
    <row r="138" spans="7:7">
      <c r="G138" s="408"/>
    </row>
    <row r="139" spans="7:7">
      <c r="G139" s="408"/>
    </row>
    <row r="140" spans="7:7">
      <c r="G140" s="408"/>
    </row>
    <row r="141" spans="7:7">
      <c r="G141" s="408"/>
    </row>
    <row r="142" spans="7:7">
      <c r="G142" s="408"/>
    </row>
    <row r="143" spans="7:7">
      <c r="G143" s="408"/>
    </row>
    <row r="144" spans="7:7">
      <c r="G144" s="408"/>
    </row>
    <row r="145" spans="7:7">
      <c r="G145" s="408"/>
    </row>
    <row r="146" spans="7:7">
      <c r="G146" s="408"/>
    </row>
    <row r="147" spans="7:7">
      <c r="G147" s="408"/>
    </row>
    <row r="148" spans="7:7">
      <c r="G148" s="408"/>
    </row>
    <row r="149" spans="7:7">
      <c r="G149" s="408"/>
    </row>
    <row r="150" spans="7:7">
      <c r="G150" s="408"/>
    </row>
    <row r="151" spans="7:7">
      <c r="G151" s="408"/>
    </row>
    <row r="152" spans="7:7">
      <c r="G152" s="408"/>
    </row>
    <row r="153" spans="7:7">
      <c r="G153" s="408"/>
    </row>
    <row r="154" spans="7:7">
      <c r="G154" s="408"/>
    </row>
    <row r="155" spans="7:7">
      <c r="G155" s="408"/>
    </row>
    <row r="156" spans="7:7">
      <c r="G156" s="408"/>
    </row>
    <row r="157" spans="7:7">
      <c r="G157" s="408"/>
    </row>
    <row r="158" spans="7:7">
      <c r="G158" s="408"/>
    </row>
    <row r="159" spans="7:7">
      <c r="G159" s="408"/>
    </row>
    <row r="160" spans="7:7">
      <c r="G160" s="408"/>
    </row>
    <row r="161" spans="7:7">
      <c r="G161" s="408"/>
    </row>
    <row r="162" spans="7:7">
      <c r="G162" s="408"/>
    </row>
    <row r="163" spans="7:7">
      <c r="G163" s="408"/>
    </row>
    <row r="164" spans="7:7">
      <c r="G164" s="408"/>
    </row>
    <row r="165" spans="7:7">
      <c r="G165" s="408"/>
    </row>
    <row r="166" spans="7:7">
      <c r="G166" s="408"/>
    </row>
    <row r="167" spans="7:7">
      <c r="G167" s="408"/>
    </row>
    <row r="168" spans="7:7">
      <c r="G168" s="408"/>
    </row>
    <row r="169" spans="7:7">
      <c r="G169" s="408"/>
    </row>
    <row r="170" spans="7:7">
      <c r="G170" s="408"/>
    </row>
    <row r="171" spans="7:7">
      <c r="G171" s="408"/>
    </row>
    <row r="172" spans="7:7">
      <c r="G172" s="408"/>
    </row>
    <row r="173" spans="7:7">
      <c r="G173" s="408"/>
    </row>
    <row r="174" spans="7:7">
      <c r="G174" s="408"/>
    </row>
    <row r="175" spans="7:7">
      <c r="G175" s="408"/>
    </row>
    <row r="176" spans="7:7">
      <c r="G176" s="408"/>
    </row>
    <row r="177" spans="7:7">
      <c r="G177" s="408"/>
    </row>
    <row r="178" spans="7:7">
      <c r="G178" s="408"/>
    </row>
    <row r="179" spans="7:7">
      <c r="G179" s="408"/>
    </row>
    <row r="180" spans="7:7">
      <c r="G180" s="408"/>
    </row>
    <row r="181" spans="7:7">
      <c r="G181" s="408"/>
    </row>
    <row r="182" spans="7:7">
      <c r="G182" s="408"/>
    </row>
    <row r="183" spans="7:7">
      <c r="G183" s="408"/>
    </row>
    <row r="184" spans="7:7">
      <c r="G184" s="408"/>
    </row>
    <row r="185" spans="7:7">
      <c r="G185" s="408"/>
    </row>
    <row r="186" spans="7:7">
      <c r="G186" s="408"/>
    </row>
    <row r="187" spans="7:7">
      <c r="G187" s="408"/>
    </row>
    <row r="188" spans="7:7">
      <c r="G188" s="408"/>
    </row>
    <row r="189" spans="7:7">
      <c r="G189" s="408"/>
    </row>
    <row r="190" spans="7:7">
      <c r="G190" s="408"/>
    </row>
    <row r="191" spans="7:7">
      <c r="G191" s="408"/>
    </row>
    <row r="192" spans="7:7">
      <c r="G192" s="408"/>
    </row>
    <row r="193" spans="7:7">
      <c r="G193" s="408"/>
    </row>
    <row r="194" spans="7:7">
      <c r="G194" s="408"/>
    </row>
    <row r="195" spans="7:7">
      <c r="G195" s="408"/>
    </row>
    <row r="196" spans="7:7">
      <c r="G196" s="408"/>
    </row>
    <row r="197" spans="7:7">
      <c r="G197" s="408"/>
    </row>
    <row r="198" spans="7:7">
      <c r="G198" s="408"/>
    </row>
    <row r="199" spans="7:7">
      <c r="G199" s="408"/>
    </row>
    <row r="200" spans="7:7">
      <c r="G200" s="408"/>
    </row>
    <row r="201" spans="7:7">
      <c r="G201" s="408"/>
    </row>
    <row r="202" spans="7:7">
      <c r="G202" s="408"/>
    </row>
    <row r="203" spans="7:7">
      <c r="G203" s="408"/>
    </row>
    <row r="204" spans="7:7">
      <c r="G204" s="408"/>
    </row>
    <row r="205" spans="7:7">
      <c r="G205" s="408"/>
    </row>
    <row r="206" spans="7:7">
      <c r="G206" s="408"/>
    </row>
    <row r="207" spans="7:7">
      <c r="G207" s="408"/>
    </row>
    <row r="208" spans="7:7">
      <c r="G208" s="408"/>
    </row>
    <row r="209" spans="7:7">
      <c r="G209" s="408"/>
    </row>
    <row r="210" spans="7:7">
      <c r="G210" s="408"/>
    </row>
    <row r="211" spans="7:7">
      <c r="G211" s="408"/>
    </row>
    <row r="212" spans="7:7">
      <c r="G212" s="408"/>
    </row>
    <row r="213" spans="7:7">
      <c r="G213" s="408"/>
    </row>
    <row r="214" spans="7:7">
      <c r="G214" s="408"/>
    </row>
    <row r="215" spans="7:7">
      <c r="G215" s="408"/>
    </row>
    <row r="216" spans="7:7">
      <c r="G216" s="408"/>
    </row>
    <row r="217" spans="7:7">
      <c r="G217" s="408"/>
    </row>
    <row r="218" spans="7:7">
      <c r="G218" s="408"/>
    </row>
    <row r="219" spans="7:7">
      <c r="G219" s="408"/>
    </row>
    <row r="220" spans="7:7">
      <c r="G220" s="408"/>
    </row>
    <row r="221" spans="7:7">
      <c r="G221" s="408"/>
    </row>
    <row r="222" spans="7:7">
      <c r="G222" s="408"/>
    </row>
    <row r="223" spans="7:7">
      <c r="G223" s="408"/>
    </row>
    <row r="224" spans="7:7">
      <c r="G224" s="408"/>
    </row>
    <row r="225" spans="7:7">
      <c r="G225" s="408"/>
    </row>
    <row r="226" spans="7:7">
      <c r="G226" s="408"/>
    </row>
    <row r="227" spans="7:7">
      <c r="G227" s="408"/>
    </row>
    <row r="228" spans="7:7">
      <c r="G228" s="408"/>
    </row>
    <row r="229" spans="7:7">
      <c r="G229" s="408"/>
    </row>
    <row r="230" spans="7:7">
      <c r="G230" s="408"/>
    </row>
    <row r="231" spans="7:7">
      <c r="G231" s="408"/>
    </row>
    <row r="232" spans="7:7">
      <c r="G232" s="408"/>
    </row>
    <row r="233" spans="7:7">
      <c r="G233" s="408"/>
    </row>
    <row r="234" spans="7:7">
      <c r="G234" s="408"/>
    </row>
    <row r="235" spans="7:7">
      <c r="G235" s="408"/>
    </row>
    <row r="236" spans="7:7">
      <c r="G236" s="408"/>
    </row>
    <row r="237" spans="7:7">
      <c r="G237" s="408"/>
    </row>
    <row r="238" spans="7:7">
      <c r="G238" s="408"/>
    </row>
    <row r="239" spans="7:7">
      <c r="G239" s="408"/>
    </row>
    <row r="240" spans="7:7">
      <c r="G240" s="408"/>
    </row>
    <row r="241" spans="7:7">
      <c r="G241" s="408"/>
    </row>
    <row r="242" spans="7:7">
      <c r="G242" s="408"/>
    </row>
    <row r="243" spans="7:7">
      <c r="G243" s="408"/>
    </row>
    <row r="244" spans="7:7">
      <c r="G244" s="408"/>
    </row>
    <row r="245" spans="7:7">
      <c r="G245" s="408"/>
    </row>
    <row r="246" spans="7:7">
      <c r="G246" s="408"/>
    </row>
    <row r="247" spans="7:7">
      <c r="G247" s="408"/>
    </row>
    <row r="248" spans="7:7">
      <c r="G248" s="408"/>
    </row>
    <row r="249" spans="7:7">
      <c r="G249" s="408"/>
    </row>
    <row r="250" spans="7:7">
      <c r="G250" s="408"/>
    </row>
    <row r="251" spans="7:7">
      <c r="G251" s="408"/>
    </row>
    <row r="252" spans="7:7">
      <c r="G252" s="408"/>
    </row>
    <row r="253" spans="7:7">
      <c r="G253" s="408"/>
    </row>
    <row r="254" spans="7:7">
      <c r="G254" s="408"/>
    </row>
    <row r="255" spans="7:7">
      <c r="G255" s="408"/>
    </row>
    <row r="256" spans="7:7">
      <c r="G256" s="408"/>
    </row>
    <row r="257" spans="7:7">
      <c r="G257" s="408"/>
    </row>
    <row r="258" spans="7:7">
      <c r="G258" s="408"/>
    </row>
    <row r="259" spans="7:7">
      <c r="G259" s="408"/>
    </row>
    <row r="260" spans="7:7">
      <c r="G260" s="408"/>
    </row>
    <row r="261" spans="7:7">
      <c r="G261" s="408"/>
    </row>
    <row r="262" spans="7:7">
      <c r="G262" s="408"/>
    </row>
    <row r="263" spans="7:7">
      <c r="G263" s="408"/>
    </row>
    <row r="264" spans="7:7">
      <c r="G264" s="408"/>
    </row>
    <row r="265" spans="7:7">
      <c r="G265" s="408"/>
    </row>
    <row r="266" spans="7:7">
      <c r="G266" s="408"/>
    </row>
    <row r="267" spans="7:7">
      <c r="G267" s="408"/>
    </row>
    <row r="268" spans="7:7">
      <c r="G268" s="408"/>
    </row>
    <row r="269" spans="7:7">
      <c r="G269" s="408"/>
    </row>
    <row r="270" spans="7:7">
      <c r="G270" s="408"/>
    </row>
    <row r="271" spans="7:7">
      <c r="G271" s="408"/>
    </row>
    <row r="272" spans="7:7">
      <c r="G272" s="408"/>
    </row>
    <row r="273" spans="7:7">
      <c r="G273" s="408"/>
    </row>
    <row r="274" spans="7:7">
      <c r="G274" s="408"/>
    </row>
    <row r="275" spans="7:7">
      <c r="G275" s="408"/>
    </row>
    <row r="276" spans="7:7">
      <c r="G276" s="408"/>
    </row>
    <row r="277" spans="7:7">
      <c r="G277" s="408"/>
    </row>
    <row r="278" spans="7:7">
      <c r="G278" s="408"/>
    </row>
    <row r="279" spans="7:7">
      <c r="G279" s="408"/>
    </row>
    <row r="280" spans="7:7">
      <c r="G280" s="408"/>
    </row>
    <row r="281" spans="7:7">
      <c r="G281" s="408"/>
    </row>
    <row r="282" spans="7:7">
      <c r="G282" s="408"/>
    </row>
    <row r="283" spans="7:7">
      <c r="G283" s="408"/>
    </row>
    <row r="284" spans="7:7">
      <c r="G284" s="408"/>
    </row>
    <row r="285" spans="7:7">
      <c r="G285" s="408"/>
    </row>
    <row r="286" spans="7:7">
      <c r="G286" s="408"/>
    </row>
    <row r="287" spans="7:7">
      <c r="G287" s="408"/>
    </row>
    <row r="288" spans="7:7">
      <c r="G288" s="408"/>
    </row>
    <row r="289" spans="7:7">
      <c r="G289" s="408"/>
    </row>
    <row r="290" spans="7:7">
      <c r="G290" s="408"/>
    </row>
    <row r="291" spans="7:7">
      <c r="G291" s="408"/>
    </row>
    <row r="292" spans="7:7">
      <c r="G292" s="408"/>
    </row>
    <row r="293" spans="7:7">
      <c r="G293" s="408"/>
    </row>
    <row r="294" spans="7:7">
      <c r="G294" s="408"/>
    </row>
    <row r="295" spans="7:7">
      <c r="G295" s="408"/>
    </row>
    <row r="296" spans="7:7">
      <c r="G296" s="408"/>
    </row>
    <row r="297" spans="7:7">
      <c r="G297" s="408"/>
    </row>
    <row r="298" spans="7:7">
      <c r="G298" s="408"/>
    </row>
    <row r="299" spans="7:7">
      <c r="G299" s="408"/>
    </row>
    <row r="300" spans="7:7">
      <c r="G300" s="408"/>
    </row>
    <row r="301" spans="7:7">
      <c r="G301" s="408"/>
    </row>
    <row r="302" spans="7:7">
      <c r="G302" s="408"/>
    </row>
    <row r="303" spans="7:7">
      <c r="G303" s="408"/>
    </row>
    <row r="304" spans="7:7">
      <c r="G304" s="408"/>
    </row>
    <row r="305" spans="7:7">
      <c r="G305" s="408"/>
    </row>
    <row r="306" spans="7:7">
      <c r="G306" s="408"/>
    </row>
    <row r="307" spans="7:7">
      <c r="G307" s="408"/>
    </row>
    <row r="308" spans="7:7">
      <c r="G308" s="408"/>
    </row>
    <row r="309" spans="7:7">
      <c r="G309" s="408"/>
    </row>
    <row r="310" spans="7:7">
      <c r="G310" s="408"/>
    </row>
    <row r="311" spans="7:7">
      <c r="G311" s="408"/>
    </row>
    <row r="312" spans="7:7">
      <c r="G312" s="408"/>
    </row>
    <row r="313" spans="7:7">
      <c r="G313" s="408"/>
    </row>
    <row r="314" spans="7:7">
      <c r="G314" s="408"/>
    </row>
    <row r="315" spans="7:7">
      <c r="G315" s="408"/>
    </row>
    <row r="316" spans="7:7">
      <c r="G316" s="408"/>
    </row>
    <row r="317" spans="7:7">
      <c r="G317" s="408"/>
    </row>
    <row r="318" spans="7:7">
      <c r="G318" s="408"/>
    </row>
    <row r="319" spans="7:7">
      <c r="G319" s="408"/>
    </row>
    <row r="320" spans="7:7">
      <c r="G320" s="408"/>
    </row>
    <row r="321" spans="7:7">
      <c r="G321" s="408"/>
    </row>
    <row r="322" spans="7:7">
      <c r="G322" s="408"/>
    </row>
    <row r="323" spans="7:7">
      <c r="G323" s="408"/>
    </row>
    <row r="324" spans="7:7">
      <c r="G324" s="408"/>
    </row>
    <row r="325" spans="7:7">
      <c r="G325" s="408"/>
    </row>
    <row r="326" spans="7:7">
      <c r="G326" s="408"/>
    </row>
    <row r="327" spans="7:7">
      <c r="G327" s="408"/>
    </row>
    <row r="328" spans="7:7">
      <c r="G328" s="408"/>
    </row>
    <row r="329" spans="7:7">
      <c r="G329" s="408"/>
    </row>
    <row r="330" spans="7:7">
      <c r="G330" s="408"/>
    </row>
    <row r="331" spans="7:7">
      <c r="G331" s="408"/>
    </row>
    <row r="332" spans="7:7">
      <c r="G332" s="408"/>
    </row>
    <row r="333" spans="7:7">
      <c r="G333" s="408"/>
    </row>
    <row r="334" spans="7:7">
      <c r="G334" s="408"/>
    </row>
    <row r="335" spans="7:7">
      <c r="G335" s="408"/>
    </row>
    <row r="336" spans="7:7">
      <c r="G336" s="408"/>
    </row>
    <row r="337" spans="7:7">
      <c r="G337" s="408"/>
    </row>
    <row r="338" spans="7:7">
      <c r="G338" s="408"/>
    </row>
    <row r="339" spans="7:7">
      <c r="G339" s="408"/>
    </row>
    <row r="340" spans="7:7">
      <c r="G340" s="408"/>
    </row>
    <row r="341" spans="7:7">
      <c r="G341" s="408"/>
    </row>
    <row r="342" spans="7:7">
      <c r="G342" s="408"/>
    </row>
    <row r="343" spans="7:7">
      <c r="G343" s="408"/>
    </row>
    <row r="344" spans="7:7">
      <c r="G344" s="408"/>
    </row>
    <row r="345" spans="7:7">
      <c r="G345" s="408"/>
    </row>
    <row r="346" spans="7:7">
      <c r="G346" s="408"/>
    </row>
    <row r="347" spans="7:7">
      <c r="G347" s="408"/>
    </row>
    <row r="348" spans="7:7">
      <c r="G348" s="408"/>
    </row>
    <row r="349" spans="7:7">
      <c r="G349" s="408"/>
    </row>
    <row r="350" spans="7:7">
      <c r="G350" s="408"/>
    </row>
    <row r="351" spans="7:7">
      <c r="G351" s="408"/>
    </row>
    <row r="352" spans="7:7">
      <c r="G352" s="408"/>
    </row>
    <row r="353" spans="7:7">
      <c r="G353" s="408"/>
    </row>
    <row r="354" spans="7:7">
      <c r="G354" s="408"/>
    </row>
    <row r="355" spans="7:7">
      <c r="G355" s="408"/>
    </row>
    <row r="356" spans="7:7">
      <c r="G356" s="408"/>
    </row>
    <row r="357" spans="7:7">
      <c r="G357" s="408"/>
    </row>
    <row r="358" spans="7:7">
      <c r="G358" s="408"/>
    </row>
    <row r="359" spans="7:7">
      <c r="G359" s="408"/>
    </row>
    <row r="360" spans="7:7">
      <c r="G360" s="408"/>
    </row>
    <row r="361" spans="7:7">
      <c r="G361" s="408"/>
    </row>
    <row r="362" spans="7:7">
      <c r="G362" s="408"/>
    </row>
    <row r="363" spans="7:7">
      <c r="G363" s="408"/>
    </row>
    <row r="364" spans="7:7">
      <c r="G364" s="408"/>
    </row>
    <row r="365" spans="7:7">
      <c r="G365" s="408"/>
    </row>
    <row r="366" spans="7:7">
      <c r="G366" s="408"/>
    </row>
    <row r="367" spans="7:7">
      <c r="G367" s="408"/>
    </row>
    <row r="368" spans="7:7">
      <c r="G368" s="408"/>
    </row>
    <row r="369" spans="7:7">
      <c r="G369" s="408"/>
    </row>
    <row r="370" spans="7:7">
      <c r="G370" s="408"/>
    </row>
    <row r="371" spans="7:7">
      <c r="G371" s="408"/>
    </row>
    <row r="372" spans="7:7">
      <c r="G372" s="408"/>
    </row>
    <row r="373" spans="7:7">
      <c r="G373" s="408"/>
    </row>
    <row r="374" spans="7:7">
      <c r="G374" s="408"/>
    </row>
    <row r="375" spans="7:7">
      <c r="G375" s="408"/>
    </row>
    <row r="376" spans="7:7">
      <c r="G376" s="408"/>
    </row>
    <row r="377" spans="7:7">
      <c r="G377" s="408"/>
    </row>
    <row r="378" spans="7:7">
      <c r="G378" s="408"/>
    </row>
    <row r="379" spans="7:7">
      <c r="G379" s="408"/>
    </row>
    <row r="380" spans="7:7">
      <c r="G380" s="408"/>
    </row>
    <row r="381" spans="7:7">
      <c r="G381" s="408"/>
    </row>
    <row r="382" spans="7:7">
      <c r="G382" s="408"/>
    </row>
    <row r="383" spans="7:7">
      <c r="G383" s="408"/>
    </row>
    <row r="384" spans="7:7">
      <c r="G384" s="408"/>
    </row>
    <row r="385" spans="7:7">
      <c r="G385" s="408"/>
    </row>
    <row r="386" spans="7:7">
      <c r="G386" s="408"/>
    </row>
    <row r="387" spans="7:7">
      <c r="G387" s="408"/>
    </row>
    <row r="388" spans="7:7">
      <c r="G388" s="408"/>
    </row>
    <row r="389" spans="7:7">
      <c r="G389" s="408"/>
    </row>
    <row r="390" spans="7:7">
      <c r="G390" s="408"/>
    </row>
    <row r="391" spans="7:7">
      <c r="G391" s="408"/>
    </row>
    <row r="392" spans="7:7">
      <c r="G392" s="408"/>
    </row>
    <row r="393" spans="7:7">
      <c r="G393" s="408"/>
    </row>
    <row r="394" spans="7:7">
      <c r="G394" s="408"/>
    </row>
    <row r="395" spans="7:7">
      <c r="G395" s="408"/>
    </row>
    <row r="396" spans="7:7">
      <c r="G396" s="408"/>
    </row>
    <row r="397" spans="7:7">
      <c r="G397" s="408"/>
    </row>
    <row r="398" spans="7:7">
      <c r="G398" s="408"/>
    </row>
    <row r="399" spans="7:7">
      <c r="G399" s="408"/>
    </row>
    <row r="400" spans="7:7">
      <c r="G400" s="408"/>
    </row>
    <row r="401" spans="7:7">
      <c r="G401" s="408"/>
    </row>
    <row r="402" spans="7:7">
      <c r="G402" s="408"/>
    </row>
    <row r="403" spans="7:7">
      <c r="G403" s="408"/>
    </row>
    <row r="404" spans="7:7">
      <c r="G404" s="408"/>
    </row>
    <row r="405" spans="7:7">
      <c r="G405" s="408"/>
    </row>
    <row r="406" spans="7:7">
      <c r="G406" s="408"/>
    </row>
    <row r="407" spans="7:7">
      <c r="G407" s="408"/>
    </row>
    <row r="408" spans="7:7">
      <c r="G408" s="408"/>
    </row>
    <row r="409" spans="7:7">
      <c r="G409" s="408"/>
    </row>
    <row r="410" spans="7:7">
      <c r="G410" s="408"/>
    </row>
    <row r="411" spans="7:7">
      <c r="G411" s="408"/>
    </row>
    <row r="412" spans="7:7">
      <c r="G412" s="408"/>
    </row>
    <row r="413" spans="7:7">
      <c r="G413" s="408"/>
    </row>
    <row r="414" spans="7:7">
      <c r="G414" s="408"/>
    </row>
    <row r="415" spans="7:7">
      <c r="G415" s="408"/>
    </row>
    <row r="416" spans="7:7">
      <c r="G416" s="408"/>
    </row>
    <row r="417" spans="7:7">
      <c r="G417" s="408"/>
    </row>
    <row r="418" spans="7:7">
      <c r="G418" s="408"/>
    </row>
    <row r="419" spans="7:7">
      <c r="G419" s="408"/>
    </row>
    <row r="420" spans="7:7">
      <c r="G420" s="408"/>
    </row>
    <row r="421" spans="7:7">
      <c r="G421" s="408"/>
    </row>
    <row r="422" spans="7:7">
      <c r="G422" s="408"/>
    </row>
    <row r="423" spans="7:7">
      <c r="G423" s="408"/>
    </row>
    <row r="424" spans="7:7">
      <c r="G424" s="408"/>
    </row>
    <row r="425" spans="7:7">
      <c r="G425" s="408"/>
    </row>
    <row r="426" spans="7:7">
      <c r="G426" s="408"/>
    </row>
    <row r="427" spans="7:7">
      <c r="G427" s="408"/>
    </row>
    <row r="428" spans="7:7">
      <c r="G428" s="408"/>
    </row>
    <row r="429" spans="7:7">
      <c r="G429" s="408"/>
    </row>
    <row r="430" spans="7:7">
      <c r="G430" s="408"/>
    </row>
    <row r="431" spans="7:7">
      <c r="G431" s="408"/>
    </row>
    <row r="432" spans="7:7">
      <c r="G432" s="408"/>
    </row>
    <row r="433" spans="7:7">
      <c r="G433" s="408"/>
    </row>
    <row r="434" spans="7:7">
      <c r="G434" s="408"/>
    </row>
    <row r="435" spans="7:7">
      <c r="G435" s="408"/>
    </row>
    <row r="436" spans="7:7">
      <c r="G436" s="408"/>
    </row>
    <row r="437" spans="7:7">
      <c r="G437" s="408"/>
    </row>
    <row r="438" spans="7:7">
      <c r="G438" s="408"/>
    </row>
    <row r="439" spans="7:7">
      <c r="G439" s="408"/>
    </row>
    <row r="440" spans="7:7">
      <c r="G440" s="408"/>
    </row>
    <row r="441" spans="7:7">
      <c r="G441" s="408"/>
    </row>
    <row r="442" spans="7:7">
      <c r="G442" s="408"/>
    </row>
    <row r="443" spans="7:7">
      <c r="G443" s="408"/>
    </row>
    <row r="444" spans="7:7">
      <c r="G444" s="408"/>
    </row>
    <row r="445" spans="7:7">
      <c r="G445" s="408"/>
    </row>
    <row r="446" spans="7:7">
      <c r="G446" s="408"/>
    </row>
    <row r="447" spans="7:7">
      <c r="G447" s="408"/>
    </row>
    <row r="448" spans="7:7">
      <c r="G448" s="408"/>
    </row>
    <row r="449" spans="7:7">
      <c r="G449" s="408"/>
    </row>
    <row r="450" spans="7:7">
      <c r="G450" s="408"/>
    </row>
    <row r="451" spans="7:7">
      <c r="G451" s="408"/>
    </row>
    <row r="452" spans="7:7">
      <c r="G452" s="408"/>
    </row>
    <row r="453" spans="7:7">
      <c r="G453" s="408"/>
    </row>
    <row r="454" spans="7:7">
      <c r="G454" s="408"/>
    </row>
    <row r="455" spans="7:7">
      <c r="G455" s="408"/>
    </row>
    <row r="456" spans="7:7">
      <c r="G456" s="408"/>
    </row>
    <row r="457" spans="7:7">
      <c r="G457" s="408"/>
    </row>
    <row r="458" spans="7:7">
      <c r="G458" s="408"/>
    </row>
    <row r="459" spans="7:7">
      <c r="G459" s="408"/>
    </row>
    <row r="460" spans="7:7">
      <c r="G460" s="408"/>
    </row>
    <row r="461" spans="7:7">
      <c r="G461" s="408"/>
    </row>
    <row r="462" spans="7:7">
      <c r="G462" s="408"/>
    </row>
    <row r="463" spans="7:7">
      <c r="G463" s="408"/>
    </row>
    <row r="464" spans="7:7">
      <c r="G464" s="408"/>
    </row>
    <row r="465" spans="7:7">
      <c r="G465" s="408"/>
    </row>
    <row r="466" spans="7:7">
      <c r="G466" s="408"/>
    </row>
    <row r="467" spans="7:7">
      <c r="G467" s="408"/>
    </row>
    <row r="468" spans="7:7">
      <c r="G468" s="408"/>
    </row>
    <row r="469" spans="7:7">
      <c r="G469" s="408"/>
    </row>
    <row r="470" spans="7:7">
      <c r="G470" s="408"/>
    </row>
    <row r="471" spans="7:7">
      <c r="G471" s="408"/>
    </row>
    <row r="472" spans="7:7">
      <c r="G472" s="408"/>
    </row>
    <row r="473" spans="7:7">
      <c r="G473" s="408"/>
    </row>
    <row r="474" spans="7:7">
      <c r="G474" s="408"/>
    </row>
    <row r="475" spans="7:7">
      <c r="G475" s="408"/>
    </row>
    <row r="476" spans="7:7">
      <c r="G476" s="408"/>
    </row>
    <row r="477" spans="7:7">
      <c r="G477" s="408"/>
    </row>
    <row r="478" spans="7:7">
      <c r="G478" s="408"/>
    </row>
    <row r="479" spans="7:7">
      <c r="G479" s="408"/>
    </row>
    <row r="480" spans="7:7">
      <c r="G480" s="408"/>
    </row>
    <row r="481" spans="7:7">
      <c r="G481" s="408"/>
    </row>
    <row r="482" spans="7:7">
      <c r="G482" s="408"/>
    </row>
    <row r="483" spans="7:7">
      <c r="G483" s="408"/>
    </row>
    <row r="484" spans="7:7">
      <c r="G484" s="408"/>
    </row>
    <row r="485" spans="7:7">
      <c r="G485" s="408"/>
    </row>
    <row r="486" spans="7:7">
      <c r="G486" s="408"/>
    </row>
    <row r="487" spans="7:7">
      <c r="G487" s="408"/>
    </row>
    <row r="488" spans="7:7">
      <c r="G488" s="408"/>
    </row>
    <row r="489" spans="7:7">
      <c r="G489" s="408"/>
    </row>
    <row r="490" spans="7:7">
      <c r="G490" s="408"/>
    </row>
    <row r="491" spans="7:7">
      <c r="G491" s="408"/>
    </row>
    <row r="492" spans="7:7">
      <c r="G492" s="408"/>
    </row>
    <row r="493" spans="7:7">
      <c r="G493" s="408"/>
    </row>
    <row r="494" spans="7:7">
      <c r="G494" s="408"/>
    </row>
    <row r="495" spans="7:7">
      <c r="G495" s="408"/>
    </row>
    <row r="496" spans="7:7">
      <c r="G496" s="408"/>
    </row>
    <row r="497" spans="7:7">
      <c r="G497" s="408"/>
    </row>
    <row r="498" spans="7:7">
      <c r="G498" s="408"/>
    </row>
    <row r="499" spans="7:7">
      <c r="G499" s="408"/>
    </row>
    <row r="500" spans="7:7">
      <c r="G500" s="408"/>
    </row>
    <row r="501" spans="7:7">
      <c r="G501" s="408"/>
    </row>
    <row r="502" spans="7:7">
      <c r="G502" s="408"/>
    </row>
    <row r="503" spans="7:7">
      <c r="G503" s="408"/>
    </row>
    <row r="504" spans="7:7">
      <c r="G504" s="408"/>
    </row>
    <row r="505" spans="7:7">
      <c r="G505" s="408"/>
    </row>
    <row r="506" spans="7:7">
      <c r="G506" s="408"/>
    </row>
    <row r="507" spans="7:7">
      <c r="G507" s="408"/>
    </row>
    <row r="508" spans="7:7">
      <c r="G508" s="408"/>
    </row>
    <row r="509" spans="7:7">
      <c r="G509" s="408"/>
    </row>
    <row r="510" spans="7:7">
      <c r="G510" s="408"/>
    </row>
    <row r="511" spans="7:7">
      <c r="G511" s="408"/>
    </row>
    <row r="512" spans="7:7">
      <c r="G512" s="408"/>
    </row>
    <row r="513" spans="7:7">
      <c r="G513" s="408"/>
    </row>
    <row r="514" spans="7:7">
      <c r="G514" s="408"/>
    </row>
    <row r="515" spans="7:7">
      <c r="G515" s="408"/>
    </row>
    <row r="516" spans="7:7">
      <c r="G516" s="408"/>
    </row>
    <row r="517" spans="7:7">
      <c r="G517" s="408"/>
    </row>
    <row r="518" spans="7:7">
      <c r="G518" s="408"/>
    </row>
    <row r="519" spans="7:7">
      <c r="G519" s="408"/>
    </row>
    <row r="520" spans="7:7">
      <c r="G520" s="408"/>
    </row>
    <row r="521" spans="7:7">
      <c r="G521" s="408"/>
    </row>
    <row r="522" spans="7:7">
      <c r="G522" s="408"/>
    </row>
    <row r="523" spans="7:7">
      <c r="G523" s="408"/>
    </row>
    <row r="524" spans="7:7">
      <c r="G524" s="408"/>
    </row>
    <row r="525" spans="7:7">
      <c r="G525" s="408"/>
    </row>
    <row r="526" spans="7:7">
      <c r="G526" s="408"/>
    </row>
    <row r="527" spans="7:7">
      <c r="G527" s="408"/>
    </row>
    <row r="528" spans="7:7">
      <c r="G528" s="408"/>
    </row>
    <row r="529" spans="7:7">
      <c r="G529" s="408"/>
    </row>
    <row r="530" spans="7:7">
      <c r="G530" s="408"/>
    </row>
    <row r="531" spans="7:7">
      <c r="G531" s="408"/>
    </row>
    <row r="532" spans="7:7">
      <c r="G532" s="408"/>
    </row>
    <row r="533" spans="7:7">
      <c r="G533" s="408"/>
    </row>
    <row r="534" spans="7:7">
      <c r="G534" s="408"/>
    </row>
    <row r="535" spans="7:7">
      <c r="G535" s="408"/>
    </row>
    <row r="536" spans="7:7">
      <c r="G536" s="408"/>
    </row>
    <row r="537" spans="7:7">
      <c r="G537" s="408"/>
    </row>
    <row r="538" spans="7:7">
      <c r="G538" s="408"/>
    </row>
    <row r="539" spans="7:7">
      <c r="G539" s="408"/>
    </row>
    <row r="540" spans="7:7">
      <c r="G540" s="408"/>
    </row>
    <row r="541" spans="7:7">
      <c r="G541" s="408"/>
    </row>
    <row r="542" spans="7:7">
      <c r="G542" s="408"/>
    </row>
    <row r="543" spans="7:7">
      <c r="G543" s="408"/>
    </row>
    <row r="544" spans="7:7">
      <c r="G544" s="408"/>
    </row>
    <row r="545" spans="7:7">
      <c r="G545" s="408"/>
    </row>
    <row r="546" spans="7:7">
      <c r="G546" s="408"/>
    </row>
    <row r="547" spans="7:7">
      <c r="G547" s="408"/>
    </row>
    <row r="548" spans="7:7">
      <c r="G548" s="408"/>
    </row>
    <row r="549" spans="7:7">
      <c r="G549" s="408"/>
    </row>
    <row r="550" spans="7:7">
      <c r="G550" s="408"/>
    </row>
    <row r="551" spans="7:7">
      <c r="G551" s="408"/>
    </row>
    <row r="552" spans="7:7">
      <c r="G552" s="408"/>
    </row>
    <row r="553" spans="7:7">
      <c r="G553" s="408"/>
    </row>
    <row r="554" spans="7:7">
      <c r="G554" s="408"/>
    </row>
    <row r="555" spans="7:7">
      <c r="G555" s="408"/>
    </row>
    <row r="556" spans="7:7">
      <c r="G556" s="408"/>
    </row>
    <row r="557" spans="7:7">
      <c r="G557" s="408"/>
    </row>
    <row r="558" spans="7:7">
      <c r="G558" s="408"/>
    </row>
    <row r="559" spans="7:7">
      <c r="G559" s="408"/>
    </row>
    <row r="560" spans="7:7">
      <c r="G560" s="408"/>
    </row>
    <row r="561" spans="7:7">
      <c r="G561" s="408"/>
    </row>
    <row r="562" spans="7:7">
      <c r="G562" s="408"/>
    </row>
    <row r="563" spans="7:7">
      <c r="G563" s="408"/>
    </row>
    <row r="564" spans="7:7">
      <c r="G564" s="408"/>
    </row>
    <row r="565" spans="7:7">
      <c r="G565" s="408"/>
    </row>
    <row r="566" spans="7:7">
      <c r="G566" s="408"/>
    </row>
    <row r="567" spans="7:7">
      <c r="G567" s="408"/>
    </row>
    <row r="568" spans="7:7">
      <c r="G568" s="408"/>
    </row>
    <row r="569" spans="7:7">
      <c r="G569" s="408"/>
    </row>
    <row r="570" spans="7:7">
      <c r="G570" s="408"/>
    </row>
    <row r="571" spans="7:7">
      <c r="G571" s="408"/>
    </row>
    <row r="572" spans="7:7">
      <c r="G572" s="408"/>
    </row>
    <row r="573" spans="7:7">
      <c r="G573" s="408"/>
    </row>
    <row r="574" spans="7:7">
      <c r="G574" s="408"/>
    </row>
    <row r="575" spans="7:7">
      <c r="G575" s="408"/>
    </row>
    <row r="576" spans="7:7">
      <c r="G576" s="408"/>
    </row>
    <row r="577" spans="7:7">
      <c r="G577" s="408"/>
    </row>
    <row r="578" spans="7:7">
      <c r="G578" s="408"/>
    </row>
    <row r="579" spans="7:7">
      <c r="G579" s="408"/>
    </row>
    <row r="580" spans="7:7">
      <c r="G580" s="408"/>
    </row>
    <row r="581" spans="7:7">
      <c r="G581" s="408"/>
    </row>
    <row r="582" spans="7:7">
      <c r="G582" s="408"/>
    </row>
    <row r="583" spans="7:7">
      <c r="G583" s="408"/>
    </row>
    <row r="584" spans="7:7">
      <c r="G584" s="408"/>
    </row>
    <row r="585" spans="7:7">
      <c r="G585" s="408"/>
    </row>
    <row r="586" spans="7:7">
      <c r="G586" s="408"/>
    </row>
    <row r="587" spans="7:7">
      <c r="G587" s="408"/>
    </row>
    <row r="588" spans="7:7">
      <c r="G588" s="408"/>
    </row>
    <row r="589" spans="7:7">
      <c r="G589" s="408"/>
    </row>
    <row r="590" spans="7:7">
      <c r="G590" s="408"/>
    </row>
  </sheetData>
  <phoneticPr fontId="0" type="noConversion"/>
  <pageMargins left="0.7" right="0.7" top="0.75" bottom="0.75" header="0.3" footer="0.3"/>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4D29C7D-795E-4BF3-B5AD-049FC2D7CCE0}">
  <sheetPr codeName="Sheet7">
    <tabColor rgb="FFFF0000"/>
  </sheetPr>
  <dimension ref="A3:N18"/>
  <sheetViews>
    <sheetView workbookViewId="0">
      <selection activeCell="M34" sqref="M34"/>
    </sheetView>
  </sheetViews>
  <sheetFormatPr defaultColWidth="9.296875" defaultRowHeight="14.6"/>
  <cols>
    <col min="1" max="1" width="9.296875" style="94"/>
    <col min="2" max="4" width="13" style="94" customWidth="1"/>
    <col min="5" max="5" width="14.296875" style="94" customWidth="1"/>
    <col min="6" max="6" width="13" style="94" customWidth="1"/>
    <col min="7" max="7" width="9.296875" style="94"/>
    <col min="8" max="8" width="11.296875" style="107" bestFit="1" customWidth="1"/>
    <col min="9" max="9" width="19.69921875" style="107" customWidth="1"/>
    <col min="10" max="10" width="9.296875" style="107"/>
    <col min="11" max="14" width="13.19921875" style="94" customWidth="1"/>
    <col min="15" max="16384" width="9.296875" style="94"/>
  </cols>
  <sheetData>
    <row r="3" spans="1:14" ht="20.6">
      <c r="A3" s="171" t="s">
        <v>300</v>
      </c>
      <c r="H3" s="113" t="s">
        <v>169</v>
      </c>
      <c r="I3" s="112"/>
      <c r="J3" s="112"/>
      <c r="K3" s="112"/>
      <c r="L3" s="112"/>
      <c r="M3" s="112"/>
      <c r="N3" s="112"/>
    </row>
    <row r="5" spans="1:14">
      <c r="A5" s="171" t="s">
        <v>245</v>
      </c>
      <c r="B5" s="93"/>
      <c r="C5" s="93"/>
      <c r="D5" s="93"/>
      <c r="E5" s="93"/>
      <c r="H5" s="170" t="s">
        <v>533</v>
      </c>
    </row>
    <row r="6" spans="1:14">
      <c r="A6" s="100"/>
      <c r="B6" s="100"/>
      <c r="C6" s="95" t="s">
        <v>244</v>
      </c>
      <c r="D6" s="95"/>
      <c r="E6" s="95"/>
      <c r="F6" s="96"/>
      <c r="H6" s="100"/>
      <c r="I6" s="101"/>
      <c r="J6" s="101"/>
      <c r="K6" s="95" t="s">
        <v>496</v>
      </c>
      <c r="L6" s="95"/>
      <c r="M6" s="95"/>
      <c r="N6" s="96"/>
    </row>
    <row r="7" spans="1:14">
      <c r="A7" s="106" t="s">
        <v>71</v>
      </c>
      <c r="B7" s="106" t="s">
        <v>71</v>
      </c>
      <c r="C7" s="56" t="s">
        <v>18</v>
      </c>
      <c r="D7" s="56" t="s">
        <v>19</v>
      </c>
      <c r="E7" s="56" t="s">
        <v>148</v>
      </c>
      <c r="F7" s="57" t="s">
        <v>76</v>
      </c>
      <c r="H7" s="102" t="s">
        <v>71</v>
      </c>
      <c r="I7" s="103" t="s">
        <v>147</v>
      </c>
      <c r="J7" s="103" t="s">
        <v>85</v>
      </c>
      <c r="K7" s="56" t="s">
        <v>18</v>
      </c>
      <c r="L7" s="56" t="s">
        <v>19</v>
      </c>
      <c r="M7" s="56" t="s">
        <v>148</v>
      </c>
      <c r="N7" s="55" t="s">
        <v>76</v>
      </c>
    </row>
    <row r="8" spans="1:14">
      <c r="A8" s="298"/>
      <c r="B8" s="298"/>
      <c r="C8" s="49"/>
      <c r="D8" s="49"/>
      <c r="E8" s="49"/>
      <c r="F8" s="52"/>
      <c r="H8" s="104" t="s">
        <v>485</v>
      </c>
      <c r="I8" s="105">
        <f>+VLOOKUP(H8,'Previous year''s Pre Surcharge '!$B$7:$F$20,5,FALSE)</f>
        <v>10.98</v>
      </c>
      <c r="J8" s="105">
        <v>6</v>
      </c>
      <c r="K8" s="687">
        <v>5.81</v>
      </c>
      <c r="L8" s="687">
        <v>1.1599999999999999</v>
      </c>
      <c r="M8" s="687">
        <v>6.7000000000000004E-2</v>
      </c>
      <c r="N8" s="688">
        <v>7.0369999999999999</v>
      </c>
    </row>
    <row r="9" spans="1:14">
      <c r="A9"/>
      <c r="B9"/>
      <c r="C9"/>
      <c r="D9"/>
      <c r="E9"/>
      <c r="F9"/>
      <c r="H9" s="104" t="s">
        <v>486</v>
      </c>
      <c r="I9" s="105">
        <f>+VLOOKUP(H9,'Previous year''s Pre Surcharge '!$B$7:$F$20,5,FALSE)</f>
        <v>10.38</v>
      </c>
      <c r="J9" s="105">
        <v>6</v>
      </c>
      <c r="K9" s="687">
        <v>6.0469999999999997</v>
      </c>
      <c r="L9" s="687">
        <v>1.248</v>
      </c>
      <c r="M9" s="687">
        <v>6.8000000000000005E-2</v>
      </c>
      <c r="N9" s="688">
        <v>7.3630000000000004</v>
      </c>
    </row>
    <row r="10" spans="1:14">
      <c r="A10"/>
      <c r="B10"/>
      <c r="C10"/>
      <c r="D10"/>
      <c r="E10"/>
      <c r="F10"/>
      <c r="H10" s="104" t="s">
        <v>487</v>
      </c>
      <c r="I10" s="105">
        <f>+VLOOKUP(H10,'Previous year''s Pre Surcharge '!$B$7:$F$20,5,FALSE)</f>
        <v>13.64</v>
      </c>
      <c r="J10" s="105">
        <v>6</v>
      </c>
      <c r="K10" s="687">
        <v>7.3209999999999997</v>
      </c>
      <c r="L10" s="687">
        <v>1.75</v>
      </c>
      <c r="M10" s="687">
        <v>0.1</v>
      </c>
      <c r="N10" s="688">
        <v>9.1709999999999994</v>
      </c>
    </row>
    <row r="11" spans="1:14">
      <c r="A11"/>
      <c r="B11"/>
      <c r="C11"/>
      <c r="D11"/>
      <c r="E11"/>
      <c r="F11"/>
      <c r="H11" s="104" t="s">
        <v>488</v>
      </c>
      <c r="I11" s="105">
        <f>+VLOOKUP(H11,'Previous year''s Pre Surcharge '!$B$7:$F$20,5,FALSE)</f>
        <v>28.78</v>
      </c>
      <c r="J11" s="105">
        <v>6</v>
      </c>
      <c r="K11" s="687">
        <v>17.895</v>
      </c>
      <c r="L11" s="687">
        <v>3.1659999999999999</v>
      </c>
      <c r="M11" s="687">
        <v>0.21199999999999999</v>
      </c>
      <c r="N11" s="688">
        <v>21.273</v>
      </c>
    </row>
    <row r="12" spans="1:14">
      <c r="A12"/>
      <c r="B12"/>
      <c r="C12"/>
      <c r="D12"/>
      <c r="E12"/>
      <c r="F12"/>
      <c r="H12" s="104" t="s">
        <v>489</v>
      </c>
      <c r="I12" s="105">
        <f>+VLOOKUP(H12,'Previous year''s Pre Surcharge '!$B$7:$F$20,5,FALSE)</f>
        <v>46.82</v>
      </c>
      <c r="J12" s="105">
        <v>6</v>
      </c>
      <c r="K12" s="318">
        <v>29.79</v>
      </c>
      <c r="L12" s="318">
        <v>5.6130000000000004</v>
      </c>
      <c r="M12" s="318">
        <v>0.27300000000000002</v>
      </c>
      <c r="N12" s="319">
        <v>35.676000000000002</v>
      </c>
    </row>
    <row r="13" spans="1:14">
      <c r="A13"/>
      <c r="B13"/>
      <c r="C13"/>
      <c r="D13"/>
      <c r="E13"/>
      <c r="F13"/>
      <c r="H13" s="104" t="s">
        <v>490</v>
      </c>
      <c r="I13" s="105">
        <f>+VLOOKUP(H13,'Previous year''s Pre Surcharge '!$B$7:$F$20,5,FALSE)</f>
        <v>10.28</v>
      </c>
      <c r="J13" s="105">
        <v>6</v>
      </c>
      <c r="K13" s="318">
        <v>6.1509999999999998</v>
      </c>
      <c r="L13" s="318">
        <v>1.1639999999999999</v>
      </c>
      <c r="M13" s="318">
        <v>0.112</v>
      </c>
      <c r="N13" s="319">
        <v>7.4269999999999996</v>
      </c>
    </row>
    <row r="14" spans="1:14">
      <c r="A14"/>
      <c r="B14"/>
      <c r="C14"/>
      <c r="D14"/>
      <c r="E14"/>
      <c r="F14"/>
      <c r="H14" s="104" t="s">
        <v>491</v>
      </c>
      <c r="I14" s="105">
        <f>+VLOOKUP(H14,'Previous year''s Pre Surcharge '!$B$7:$F$20,5,FALSE)</f>
        <v>26.12</v>
      </c>
      <c r="J14" s="105">
        <v>6</v>
      </c>
      <c r="K14" s="318">
        <v>15.869</v>
      </c>
      <c r="L14" s="318">
        <v>3.2269999999999999</v>
      </c>
      <c r="M14" s="318">
        <v>0.15</v>
      </c>
      <c r="N14" s="319">
        <v>19.245999999999999</v>
      </c>
    </row>
    <row r="15" spans="1:14">
      <c r="A15"/>
      <c r="B15"/>
      <c r="C15"/>
      <c r="D15"/>
      <c r="E15"/>
      <c r="F15"/>
      <c r="H15" s="104" t="s">
        <v>492</v>
      </c>
      <c r="I15" s="105">
        <f>+VLOOKUP(H15,'Previous year''s Pre Surcharge '!$B$7:$F$20,5,FALSE)</f>
        <v>24.06</v>
      </c>
      <c r="J15" s="105">
        <v>6</v>
      </c>
      <c r="K15" s="318">
        <v>11.930999999999999</v>
      </c>
      <c r="L15" s="318">
        <v>3.4620000000000002</v>
      </c>
      <c r="M15" s="318">
        <v>0.13400000000000001</v>
      </c>
      <c r="N15" s="319">
        <v>15.526999999999999</v>
      </c>
    </row>
    <row r="16" spans="1:14">
      <c r="A16"/>
      <c r="B16"/>
      <c r="C16"/>
      <c r="D16"/>
      <c r="E16"/>
      <c r="F16"/>
      <c r="H16" s="104" t="s">
        <v>493</v>
      </c>
      <c r="I16" s="105">
        <f>+VLOOKUP(H16,'Previous year''s Pre Surcharge '!$B$7:$F$20,5,FALSE)</f>
        <v>12.18</v>
      </c>
      <c r="J16" s="105">
        <v>6</v>
      </c>
      <c r="K16" s="318">
        <v>6.0640000000000001</v>
      </c>
      <c r="L16" s="318">
        <v>1.345</v>
      </c>
      <c r="M16" s="318">
        <v>7.2999999999999995E-2</v>
      </c>
      <c r="N16" s="319">
        <v>7.4820000000000002</v>
      </c>
    </row>
    <row r="17" spans="1:14">
      <c r="A17"/>
      <c r="B17"/>
      <c r="C17"/>
      <c r="D17"/>
      <c r="E17"/>
      <c r="F17"/>
      <c r="H17" s="104" t="s">
        <v>494</v>
      </c>
      <c r="I17" s="105">
        <f>+VLOOKUP(H17,'Previous year''s Pre Surcharge '!$B$7:$F$20,5,FALSE)</f>
        <v>6.42</v>
      </c>
      <c r="J17" s="105">
        <v>6</v>
      </c>
      <c r="K17" s="318">
        <v>3.1240000000000001</v>
      </c>
      <c r="L17" s="318">
        <v>0.872</v>
      </c>
      <c r="M17" s="318">
        <v>5.0999999999999997E-2</v>
      </c>
      <c r="N17" s="319">
        <v>4.0469999999999997</v>
      </c>
    </row>
    <row r="18" spans="1:14">
      <c r="A18"/>
      <c r="B18"/>
      <c r="C18"/>
      <c r="D18"/>
      <c r="E18"/>
      <c r="F18"/>
      <c r="H18" s="481" t="s">
        <v>495</v>
      </c>
      <c r="I18" s="103">
        <f>+VLOOKUP(H18,'Previous year''s Pre Surcharge '!$B$7:$F$20,5,FALSE)</f>
        <v>3.43</v>
      </c>
      <c r="J18" s="481">
        <v>6</v>
      </c>
      <c r="K18" s="482">
        <v>1.8759999999999999</v>
      </c>
      <c r="L18" s="482">
        <v>0.35299999999999998</v>
      </c>
      <c r="M18" s="482">
        <v>0.02</v>
      </c>
      <c r="N18" s="483">
        <v>2.2490000000000001</v>
      </c>
    </row>
  </sheetData>
  <sortState xmlns:xlrd2="http://schemas.microsoft.com/office/spreadsheetml/2017/richdata2" ref="H8:N18">
    <sortCondition ref="H8:H18"/>
  </sortState>
  <pageMargins left="0.7" right="0.7" top="0.75" bottom="0.75" header="0.3" footer="0.3"/>
  <legacy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1BD3C7F-2D04-4A3D-A56A-D752E70A3347}">
  <sheetPr codeName="Sheet9"/>
  <dimension ref="A1:AQ71"/>
  <sheetViews>
    <sheetView workbookViewId="0">
      <selection activeCell="M34" sqref="M34"/>
    </sheetView>
  </sheetViews>
  <sheetFormatPr defaultColWidth="9.296875" defaultRowHeight="14.6"/>
  <cols>
    <col min="1" max="1" width="16.5" style="484" customWidth="1"/>
    <col min="2" max="8" width="9.296875" style="484"/>
    <col min="9" max="9" width="4.19921875" style="484" customWidth="1"/>
    <col min="10" max="16384" width="9.296875" style="484"/>
  </cols>
  <sheetData>
    <row r="1" spans="1:41">
      <c r="A1" s="523" t="s">
        <v>509</v>
      </c>
      <c r="I1" s="486"/>
    </row>
    <row r="2" spans="1:41">
      <c r="A2" s="523"/>
      <c r="I2" s="486"/>
    </row>
    <row r="3" spans="1:41">
      <c r="A3" s="512" t="s">
        <v>508</v>
      </c>
      <c r="B3" s="516" t="s">
        <v>507</v>
      </c>
      <c r="C3" s="512"/>
      <c r="D3" s="512"/>
      <c r="E3" s="512"/>
      <c r="F3" s="512"/>
      <c r="G3" s="512"/>
      <c r="H3" s="512"/>
      <c r="I3" s="522"/>
      <c r="P3" s="512"/>
    </row>
    <row r="4" spans="1:41">
      <c r="A4" s="520" t="s">
        <v>506</v>
      </c>
      <c r="B4" s="520" t="s">
        <v>229</v>
      </c>
      <c r="C4" s="520">
        <v>1</v>
      </c>
      <c r="D4" s="520">
        <v>2</v>
      </c>
      <c r="E4" s="520">
        <v>3</v>
      </c>
      <c r="F4" s="520">
        <v>4</v>
      </c>
      <c r="G4" s="520">
        <v>5</v>
      </c>
      <c r="H4" s="520" t="s">
        <v>376</v>
      </c>
      <c r="I4" s="521"/>
      <c r="P4" s="520"/>
    </row>
    <row r="5" spans="1:41">
      <c r="A5" s="514"/>
      <c r="B5" s="514"/>
      <c r="C5" s="514"/>
      <c r="D5" s="514"/>
      <c r="E5" s="514"/>
      <c r="F5" s="514"/>
      <c r="G5" s="514"/>
      <c r="H5" s="514"/>
      <c r="I5" s="519"/>
      <c r="P5" s="514"/>
    </row>
    <row r="6" spans="1:41">
      <c r="A6" s="518" t="s">
        <v>505</v>
      </c>
      <c r="B6" s="512">
        <v>1</v>
      </c>
      <c r="C6" s="511">
        <v>1.3240000000000001</v>
      </c>
      <c r="D6" s="511">
        <v>0</v>
      </c>
      <c r="E6" s="511">
        <v>0</v>
      </c>
      <c r="F6" s="511">
        <v>0</v>
      </c>
      <c r="G6" s="511">
        <v>0</v>
      </c>
      <c r="H6" s="511">
        <v>0</v>
      </c>
      <c r="I6" s="510"/>
      <c r="P6" s="517"/>
    </row>
    <row r="7" spans="1:41">
      <c r="A7" s="518" t="s">
        <v>505</v>
      </c>
      <c r="B7" s="512">
        <v>2</v>
      </c>
      <c r="C7" s="511">
        <v>0</v>
      </c>
      <c r="D7" s="511">
        <v>1.3240000000000001</v>
      </c>
      <c r="E7" s="511">
        <v>0</v>
      </c>
      <c r="F7" s="511">
        <v>0</v>
      </c>
      <c r="G7" s="511">
        <v>0</v>
      </c>
      <c r="H7" s="511">
        <v>0</v>
      </c>
      <c r="I7" s="510"/>
      <c r="P7" s="517"/>
    </row>
    <row r="8" spans="1:41">
      <c r="A8" s="518" t="s">
        <v>505</v>
      </c>
      <c r="B8" s="512">
        <v>3</v>
      </c>
      <c r="C8" s="511">
        <v>0</v>
      </c>
      <c r="D8" s="511">
        <v>0</v>
      </c>
      <c r="E8" s="511">
        <v>1.3240000000000001</v>
      </c>
      <c r="F8" s="511">
        <v>0</v>
      </c>
      <c r="G8" s="511">
        <v>0</v>
      </c>
      <c r="H8" s="511">
        <v>0</v>
      </c>
      <c r="I8" s="510"/>
      <c r="P8" s="517"/>
    </row>
    <row r="9" spans="1:41">
      <c r="A9" s="518" t="s">
        <v>505</v>
      </c>
      <c r="B9" s="512">
        <v>4</v>
      </c>
      <c r="C9" s="511">
        <v>0</v>
      </c>
      <c r="D9" s="511">
        <v>0</v>
      </c>
      <c r="E9" s="511">
        <v>0</v>
      </c>
      <c r="F9" s="511">
        <v>1.3240000000000001</v>
      </c>
      <c r="G9" s="511">
        <v>0</v>
      </c>
      <c r="H9" s="511">
        <v>0</v>
      </c>
      <c r="I9" s="510"/>
      <c r="P9" s="517"/>
    </row>
    <row r="10" spans="1:41">
      <c r="A10" s="518" t="s">
        <v>505</v>
      </c>
      <c r="B10" s="512">
        <v>5</v>
      </c>
      <c r="C10" s="511">
        <v>0</v>
      </c>
      <c r="D10" s="511">
        <v>0</v>
      </c>
      <c r="E10" s="511">
        <v>0</v>
      </c>
      <c r="F10" s="511">
        <v>0</v>
      </c>
      <c r="G10" s="511">
        <v>1.3240000000000001</v>
      </c>
      <c r="H10" s="511">
        <v>0</v>
      </c>
      <c r="I10" s="510"/>
      <c r="P10" s="517"/>
    </row>
    <row r="11" spans="1:41">
      <c r="A11" s="516" t="s">
        <v>504</v>
      </c>
      <c r="B11" s="512">
        <v>1</v>
      </c>
      <c r="C11" s="511">
        <v>1.1408</v>
      </c>
      <c r="D11" s="511">
        <v>0</v>
      </c>
      <c r="E11" s="511">
        <v>0</v>
      </c>
      <c r="F11" s="511">
        <v>0</v>
      </c>
      <c r="G11" s="511">
        <v>0</v>
      </c>
      <c r="H11" s="511">
        <v>0</v>
      </c>
      <c r="I11" s="510"/>
      <c r="K11" s="515">
        <f t="array" ref="K11:O15">MMULT(C6:G10,C11:G15)</f>
        <v>1.5104192000000001</v>
      </c>
      <c r="L11" s="515">
        <v>0</v>
      </c>
      <c r="M11" s="515">
        <v>0</v>
      </c>
      <c r="N11" s="515">
        <v>0</v>
      </c>
      <c r="O11" s="515">
        <v>0</v>
      </c>
      <c r="P11" s="509"/>
      <c r="Q11" s="488"/>
      <c r="R11" s="488"/>
      <c r="S11" s="488"/>
      <c r="T11" s="488"/>
      <c r="U11" s="488"/>
      <c r="V11" s="488"/>
      <c r="W11" s="488"/>
      <c r="X11" s="488"/>
      <c r="Y11" s="488"/>
      <c r="Z11" s="488"/>
      <c r="AA11" s="488"/>
      <c r="AB11" s="488"/>
      <c r="AC11" s="488"/>
      <c r="AD11" s="488"/>
      <c r="AE11" s="488"/>
      <c r="AF11" s="488"/>
      <c r="AG11" s="488"/>
      <c r="AH11" s="488"/>
      <c r="AI11" s="488"/>
      <c r="AJ11" s="488"/>
      <c r="AK11" s="488"/>
      <c r="AL11" s="488"/>
      <c r="AM11" s="488"/>
      <c r="AN11" s="488"/>
      <c r="AO11" s="488"/>
    </row>
    <row r="12" spans="1:41">
      <c r="A12" s="516" t="s">
        <v>504</v>
      </c>
      <c r="B12" s="512">
        <v>2</v>
      </c>
      <c r="C12" s="511">
        <v>0</v>
      </c>
      <c r="D12" s="511">
        <v>1.1408</v>
      </c>
      <c r="E12" s="511">
        <v>0</v>
      </c>
      <c r="F12" s="511">
        <v>0</v>
      </c>
      <c r="G12" s="511">
        <v>0</v>
      </c>
      <c r="H12" s="511">
        <v>0</v>
      </c>
      <c r="I12" s="510"/>
      <c r="K12" s="515">
        <v>0</v>
      </c>
      <c r="L12" s="515">
        <v>1.5104192000000001</v>
      </c>
      <c r="M12" s="515">
        <v>0</v>
      </c>
      <c r="N12" s="515">
        <v>0</v>
      </c>
      <c r="O12" s="515">
        <v>0</v>
      </c>
      <c r="P12" s="509"/>
      <c r="Q12" s="488"/>
      <c r="R12" s="488"/>
      <c r="S12" s="488"/>
      <c r="T12" s="488"/>
      <c r="U12" s="488"/>
      <c r="V12" s="488"/>
      <c r="W12" s="488"/>
      <c r="X12" s="488"/>
      <c r="Y12" s="488"/>
      <c r="Z12" s="488"/>
      <c r="AA12" s="488"/>
      <c r="AB12" s="488"/>
      <c r="AC12" s="488"/>
      <c r="AD12" s="488"/>
      <c r="AE12" s="488"/>
      <c r="AF12" s="488"/>
      <c r="AG12" s="488"/>
      <c r="AH12" s="488"/>
      <c r="AI12" s="488"/>
      <c r="AJ12" s="488"/>
      <c r="AK12" s="488"/>
      <c r="AL12" s="488"/>
      <c r="AM12" s="488"/>
      <c r="AN12" s="488"/>
      <c r="AO12" s="488"/>
    </row>
    <row r="13" spans="1:41">
      <c r="A13" s="516" t="s">
        <v>504</v>
      </c>
      <c r="B13" s="512">
        <v>3</v>
      </c>
      <c r="C13" s="511">
        <v>0</v>
      </c>
      <c r="D13" s="511">
        <v>0</v>
      </c>
      <c r="E13" s="511">
        <v>1.1408</v>
      </c>
      <c r="F13" s="511">
        <v>0</v>
      </c>
      <c r="G13" s="511">
        <v>0</v>
      </c>
      <c r="H13" s="511">
        <v>0</v>
      </c>
      <c r="I13" s="510"/>
      <c r="K13" s="515">
        <v>0</v>
      </c>
      <c r="L13" s="515">
        <v>0</v>
      </c>
      <c r="M13" s="515">
        <v>1.5104192000000001</v>
      </c>
      <c r="N13" s="515">
        <v>0</v>
      </c>
      <c r="O13" s="515">
        <v>0</v>
      </c>
      <c r="P13" s="509"/>
      <c r="Q13" s="488"/>
      <c r="R13" s="488"/>
      <c r="S13" s="488"/>
      <c r="T13" s="488"/>
      <c r="U13" s="488"/>
      <c r="V13" s="488"/>
      <c r="W13" s="488"/>
      <c r="X13" s="488"/>
      <c r="Y13" s="488"/>
      <c r="Z13" s="488"/>
      <c r="AA13" s="488"/>
      <c r="AB13" s="488"/>
      <c r="AC13" s="488"/>
      <c r="AD13" s="488"/>
      <c r="AE13" s="488"/>
      <c r="AF13" s="488"/>
      <c r="AG13" s="488"/>
      <c r="AH13" s="488"/>
      <c r="AI13" s="488"/>
      <c r="AJ13" s="488"/>
      <c r="AK13" s="488"/>
      <c r="AL13" s="488"/>
      <c r="AM13" s="488"/>
      <c r="AN13" s="488"/>
      <c r="AO13" s="488"/>
    </row>
    <row r="14" spans="1:41">
      <c r="A14" s="516" t="s">
        <v>504</v>
      </c>
      <c r="B14" s="512">
        <v>4</v>
      </c>
      <c r="C14" s="511">
        <v>0</v>
      </c>
      <c r="D14" s="511">
        <v>0</v>
      </c>
      <c r="E14" s="511">
        <v>0</v>
      </c>
      <c r="F14" s="511">
        <v>1.1408</v>
      </c>
      <c r="G14" s="511">
        <v>0</v>
      </c>
      <c r="H14" s="511">
        <v>0</v>
      </c>
      <c r="I14" s="510"/>
      <c r="K14" s="515">
        <v>0</v>
      </c>
      <c r="L14" s="515">
        <v>0</v>
      </c>
      <c r="M14" s="515">
        <v>0</v>
      </c>
      <c r="N14" s="515">
        <v>1.5104192000000001</v>
      </c>
      <c r="O14" s="515">
        <v>0</v>
      </c>
      <c r="P14" s="509"/>
      <c r="Q14" s="488"/>
      <c r="R14" s="488"/>
      <c r="S14" s="488"/>
      <c r="T14" s="488"/>
      <c r="U14" s="488"/>
      <c r="V14" s="488"/>
      <c r="W14" s="488"/>
      <c r="X14" s="488"/>
      <c r="Y14" s="488"/>
      <c r="Z14" s="488"/>
      <c r="AA14" s="488"/>
      <c r="AB14" s="488"/>
      <c r="AC14" s="488"/>
      <c r="AD14" s="488"/>
      <c r="AE14" s="488"/>
      <c r="AF14" s="488"/>
      <c r="AG14" s="488"/>
      <c r="AH14" s="488"/>
      <c r="AI14" s="488"/>
      <c r="AJ14" s="488"/>
      <c r="AK14" s="488"/>
      <c r="AL14" s="488"/>
      <c r="AM14" s="488"/>
      <c r="AN14" s="488"/>
      <c r="AO14" s="488"/>
    </row>
    <row r="15" spans="1:41">
      <c r="A15" s="516" t="s">
        <v>504</v>
      </c>
      <c r="B15" s="512">
        <v>5</v>
      </c>
      <c r="C15" s="511">
        <v>0</v>
      </c>
      <c r="D15" s="511">
        <v>0</v>
      </c>
      <c r="E15" s="511">
        <v>0</v>
      </c>
      <c r="F15" s="511">
        <v>0</v>
      </c>
      <c r="G15" s="511">
        <v>1.1408</v>
      </c>
      <c r="H15" s="511">
        <v>0</v>
      </c>
      <c r="I15" s="510"/>
      <c r="K15" s="515">
        <v>0</v>
      </c>
      <c r="L15" s="515">
        <v>0</v>
      </c>
      <c r="M15" s="515">
        <v>0</v>
      </c>
      <c r="N15" s="515">
        <v>0</v>
      </c>
      <c r="O15" s="515">
        <v>1.5104192000000001</v>
      </c>
      <c r="P15" s="509"/>
      <c r="Q15" s="488"/>
      <c r="R15" s="488"/>
      <c r="S15" s="488"/>
      <c r="T15" s="488"/>
      <c r="U15" s="488"/>
      <c r="V15" s="488"/>
      <c r="W15" s="488"/>
      <c r="X15" s="488"/>
      <c r="Y15" s="488"/>
      <c r="Z15" s="488"/>
      <c r="AA15" s="488"/>
      <c r="AB15" s="488"/>
      <c r="AC15" s="488"/>
      <c r="AD15" s="488"/>
      <c r="AE15" s="488"/>
      <c r="AF15" s="488"/>
      <c r="AG15" s="488"/>
      <c r="AH15" s="488"/>
      <c r="AI15" s="488"/>
      <c r="AJ15" s="488"/>
      <c r="AK15" s="488"/>
      <c r="AL15" s="488"/>
      <c r="AM15" s="488"/>
      <c r="AN15" s="488"/>
      <c r="AO15" s="488"/>
    </row>
    <row r="16" spans="1:41">
      <c r="A16" s="512" t="s">
        <v>503</v>
      </c>
      <c r="B16" s="512">
        <v>1</v>
      </c>
      <c r="C16" s="511">
        <v>1.0808</v>
      </c>
      <c r="D16" s="511">
        <v>0</v>
      </c>
      <c r="E16" s="511">
        <v>0</v>
      </c>
      <c r="F16" s="511">
        <v>0</v>
      </c>
      <c r="G16" s="511">
        <v>0</v>
      </c>
      <c r="H16" s="511">
        <v>0</v>
      </c>
      <c r="I16" s="510"/>
      <c r="K16" s="515">
        <f t="array" ref="K16:O20">MMULT(K11:O15,C16:G20)</f>
        <v>1.6324610713600001</v>
      </c>
      <c r="L16" s="515">
        <v>0</v>
      </c>
      <c r="M16" s="515">
        <v>0</v>
      </c>
      <c r="N16" s="515">
        <v>0</v>
      </c>
      <c r="O16" s="515">
        <v>0</v>
      </c>
      <c r="P16" s="509"/>
      <c r="Q16" s="488"/>
      <c r="R16" s="515">
        <f t="array" ref="R16:V20">MMULT(C11:G15,C16:G20)</f>
        <v>1.23297664</v>
      </c>
      <c r="S16" s="515">
        <v>0</v>
      </c>
      <c r="T16" s="515">
        <v>0</v>
      </c>
      <c r="U16" s="515">
        <v>0</v>
      </c>
      <c r="V16" s="515">
        <v>0</v>
      </c>
      <c r="W16" s="488"/>
      <c r="X16" s="488"/>
      <c r="Y16" s="488"/>
      <c r="Z16" s="488"/>
      <c r="AA16" s="488"/>
      <c r="AB16" s="488"/>
      <c r="AC16" s="488"/>
      <c r="AD16" s="488"/>
      <c r="AE16" s="488"/>
      <c r="AF16" s="488"/>
      <c r="AG16" s="488"/>
      <c r="AH16" s="488"/>
      <c r="AI16" s="488"/>
      <c r="AJ16" s="488"/>
      <c r="AK16" s="488"/>
      <c r="AL16" s="488"/>
      <c r="AM16" s="488"/>
      <c r="AN16" s="488"/>
      <c r="AO16" s="488"/>
    </row>
    <row r="17" spans="1:43">
      <c r="A17" s="512" t="s">
        <v>503</v>
      </c>
      <c r="B17" s="512">
        <v>2</v>
      </c>
      <c r="C17" s="511">
        <v>0</v>
      </c>
      <c r="D17" s="511">
        <v>1.0808</v>
      </c>
      <c r="E17" s="511">
        <v>0</v>
      </c>
      <c r="F17" s="511">
        <v>0</v>
      </c>
      <c r="G17" s="511">
        <v>0</v>
      </c>
      <c r="H17" s="511">
        <v>0</v>
      </c>
      <c r="I17" s="510"/>
      <c r="K17" s="515">
        <v>0</v>
      </c>
      <c r="L17" s="515">
        <v>1.6324610713600001</v>
      </c>
      <c r="M17" s="515">
        <v>0</v>
      </c>
      <c r="N17" s="515">
        <v>0</v>
      </c>
      <c r="O17" s="515">
        <v>0</v>
      </c>
      <c r="P17" s="509"/>
      <c r="Q17" s="488"/>
      <c r="R17" s="515">
        <v>0</v>
      </c>
      <c r="S17" s="515">
        <v>1.23297664</v>
      </c>
      <c r="T17" s="515">
        <v>0</v>
      </c>
      <c r="U17" s="515">
        <v>0</v>
      </c>
      <c r="V17" s="515">
        <v>0</v>
      </c>
      <c r="W17" s="488"/>
      <c r="X17" s="488"/>
      <c r="Y17" s="488"/>
      <c r="Z17" s="488"/>
      <c r="AA17" s="488"/>
      <c r="AB17" s="488"/>
      <c r="AC17" s="488"/>
      <c r="AD17" s="488"/>
      <c r="AE17" s="488"/>
      <c r="AF17" s="488"/>
      <c r="AG17" s="488"/>
      <c r="AH17" s="488"/>
      <c r="AI17" s="488"/>
      <c r="AJ17" s="488"/>
      <c r="AK17" s="488"/>
      <c r="AL17" s="488"/>
      <c r="AM17" s="488"/>
      <c r="AN17" s="488"/>
      <c r="AO17" s="488"/>
    </row>
    <row r="18" spans="1:43">
      <c r="A18" s="512" t="s">
        <v>503</v>
      </c>
      <c r="B18" s="512">
        <v>3</v>
      </c>
      <c r="C18" s="511">
        <v>0</v>
      </c>
      <c r="D18" s="511">
        <v>0</v>
      </c>
      <c r="E18" s="511">
        <v>1.0808</v>
      </c>
      <c r="F18" s="511">
        <v>0</v>
      </c>
      <c r="G18" s="511">
        <v>0</v>
      </c>
      <c r="H18" s="511">
        <v>0</v>
      </c>
      <c r="I18" s="510"/>
      <c r="K18" s="515">
        <v>0</v>
      </c>
      <c r="L18" s="515">
        <v>0</v>
      </c>
      <c r="M18" s="515">
        <v>1.6324610713600001</v>
      </c>
      <c r="N18" s="515">
        <v>0</v>
      </c>
      <c r="O18" s="515">
        <v>0</v>
      </c>
      <c r="P18" s="509"/>
      <c r="Q18" s="488"/>
      <c r="R18" s="515">
        <v>0</v>
      </c>
      <c r="S18" s="515">
        <v>0</v>
      </c>
      <c r="T18" s="515">
        <v>1.23297664</v>
      </c>
      <c r="U18" s="515">
        <v>0</v>
      </c>
      <c r="V18" s="515">
        <v>0</v>
      </c>
      <c r="W18" s="488"/>
      <c r="X18" s="488"/>
      <c r="Y18" s="488"/>
      <c r="Z18" s="488"/>
      <c r="AA18" s="488"/>
      <c r="AB18" s="488"/>
      <c r="AC18" s="488"/>
      <c r="AD18" s="488"/>
      <c r="AE18" s="488"/>
      <c r="AF18" s="488"/>
      <c r="AG18" s="488"/>
      <c r="AH18" s="488"/>
      <c r="AI18" s="488"/>
      <c r="AJ18" s="488"/>
      <c r="AK18" s="488"/>
      <c r="AL18" s="488"/>
      <c r="AM18" s="488"/>
      <c r="AN18" s="488"/>
      <c r="AO18" s="488"/>
    </row>
    <row r="19" spans="1:43">
      <c r="A19" s="512" t="s">
        <v>503</v>
      </c>
      <c r="B19" s="512">
        <v>4</v>
      </c>
      <c r="C19" s="511">
        <v>0</v>
      </c>
      <c r="D19" s="511">
        <v>0</v>
      </c>
      <c r="E19" s="511">
        <v>0</v>
      </c>
      <c r="F19" s="511">
        <v>1.0808</v>
      </c>
      <c r="G19" s="511">
        <v>0</v>
      </c>
      <c r="H19" s="511">
        <v>0</v>
      </c>
      <c r="I19" s="510"/>
      <c r="K19" s="515">
        <v>0</v>
      </c>
      <c r="L19" s="515">
        <v>0</v>
      </c>
      <c r="M19" s="515">
        <v>0</v>
      </c>
      <c r="N19" s="515">
        <v>1.6324610713600001</v>
      </c>
      <c r="O19" s="515">
        <v>0</v>
      </c>
      <c r="P19" s="509"/>
      <c r="Q19" s="488"/>
      <c r="R19" s="515">
        <v>0</v>
      </c>
      <c r="S19" s="515">
        <v>0</v>
      </c>
      <c r="T19" s="515">
        <v>0</v>
      </c>
      <c r="U19" s="515">
        <v>1.23297664</v>
      </c>
      <c r="V19" s="515">
        <v>0</v>
      </c>
      <c r="W19" s="488"/>
      <c r="X19" s="488"/>
      <c r="Y19" s="488"/>
      <c r="Z19" s="488"/>
      <c r="AA19" s="488"/>
      <c r="AB19" s="488"/>
      <c r="AC19" s="488"/>
      <c r="AD19" s="488"/>
      <c r="AE19" s="488"/>
      <c r="AF19" s="488"/>
      <c r="AG19" s="488"/>
      <c r="AH19" s="488"/>
      <c r="AI19" s="488"/>
      <c r="AJ19" s="488"/>
      <c r="AK19" s="488"/>
      <c r="AL19" s="488"/>
      <c r="AM19" s="488"/>
      <c r="AN19" s="488"/>
      <c r="AO19" s="488"/>
    </row>
    <row r="20" spans="1:43">
      <c r="A20" s="512" t="s">
        <v>503</v>
      </c>
      <c r="B20" s="512">
        <v>5</v>
      </c>
      <c r="C20" s="511">
        <v>0</v>
      </c>
      <c r="D20" s="511">
        <v>0</v>
      </c>
      <c r="E20" s="511">
        <v>0</v>
      </c>
      <c r="F20" s="511">
        <v>0</v>
      </c>
      <c r="G20" s="511">
        <v>1.0808</v>
      </c>
      <c r="H20" s="511">
        <v>0</v>
      </c>
      <c r="I20" s="510"/>
      <c r="K20" s="515">
        <v>0</v>
      </c>
      <c r="L20" s="515">
        <v>0</v>
      </c>
      <c r="M20" s="515">
        <v>0</v>
      </c>
      <c r="N20" s="515">
        <v>0</v>
      </c>
      <c r="O20" s="515">
        <v>1.6324610713600001</v>
      </c>
      <c r="P20" s="509"/>
      <c r="Q20" s="488"/>
      <c r="R20" s="515">
        <v>0</v>
      </c>
      <c r="S20" s="515">
        <v>0</v>
      </c>
      <c r="T20" s="515">
        <v>0</v>
      </c>
      <c r="U20" s="515">
        <v>0</v>
      </c>
      <c r="V20" s="515">
        <v>1.23297664</v>
      </c>
      <c r="W20" s="488"/>
      <c r="X20" s="488"/>
      <c r="Y20" s="488"/>
      <c r="Z20" s="488"/>
      <c r="AA20" s="488"/>
      <c r="AB20" s="488"/>
      <c r="AC20" s="488"/>
      <c r="AD20" s="488"/>
      <c r="AE20" s="488"/>
      <c r="AF20" s="488"/>
      <c r="AG20" s="488"/>
      <c r="AH20" s="488"/>
      <c r="AI20" s="488"/>
      <c r="AJ20" s="488"/>
      <c r="AK20" s="488"/>
      <c r="AL20" s="488"/>
      <c r="AM20" s="488"/>
      <c r="AN20" s="488"/>
      <c r="AO20" s="488"/>
    </row>
    <row r="21" spans="1:43">
      <c r="A21" s="512" t="s">
        <v>502</v>
      </c>
      <c r="B21" s="512">
        <v>1</v>
      </c>
      <c r="C21" s="511">
        <v>1.0515000000000001</v>
      </c>
      <c r="D21" s="511">
        <v>0</v>
      </c>
      <c r="E21" s="511">
        <v>0</v>
      </c>
      <c r="F21" s="511">
        <v>0</v>
      </c>
      <c r="G21" s="511">
        <v>0</v>
      </c>
      <c r="H21" s="511">
        <v>0</v>
      </c>
      <c r="I21" s="510"/>
      <c r="K21" s="508">
        <f t="array" ref="K21:O25">MMULT(K16:O20,C21:G25)</f>
        <v>1.7165328165350402</v>
      </c>
      <c r="L21" s="508">
        <v>0</v>
      </c>
      <c r="M21" s="508">
        <v>0</v>
      </c>
      <c r="N21" s="508">
        <v>0</v>
      </c>
      <c r="O21" s="508">
        <v>0</v>
      </c>
      <c r="P21" s="509"/>
      <c r="Q21" s="488"/>
      <c r="R21" s="508">
        <f t="array" ref="R21:V25">MMULT(R16:V20,C21:G25)</f>
        <v>1.2964749369600002</v>
      </c>
      <c r="S21" s="508">
        <v>0</v>
      </c>
      <c r="T21" s="508">
        <v>0</v>
      </c>
      <c r="U21" s="508">
        <v>0</v>
      </c>
      <c r="V21" s="508">
        <v>0</v>
      </c>
      <c r="W21" s="509"/>
      <c r="X21" s="488"/>
      <c r="Y21" s="508">
        <f t="array" ref="Y21:AC25">MMULT(C16:G20,C21:G25)</f>
        <v>1.1364612000000001</v>
      </c>
      <c r="Z21" s="508">
        <v>0</v>
      </c>
      <c r="AA21" s="508">
        <v>0</v>
      </c>
      <c r="AB21" s="508">
        <v>0</v>
      </c>
      <c r="AC21" s="508">
        <v>0</v>
      </c>
      <c r="AD21" s="488"/>
      <c r="AE21" s="488"/>
      <c r="AF21" s="513"/>
      <c r="AG21" s="488"/>
      <c r="AH21" s="488"/>
      <c r="AI21" s="488"/>
      <c r="AJ21" s="488"/>
      <c r="AK21" s="488"/>
      <c r="AL21" s="488"/>
      <c r="AM21" s="488"/>
      <c r="AN21" s="488"/>
      <c r="AO21" s="488"/>
    </row>
    <row r="22" spans="1:43">
      <c r="A22" s="512" t="s">
        <v>502</v>
      </c>
      <c r="B22" s="512">
        <v>2</v>
      </c>
      <c r="C22" s="511">
        <v>0</v>
      </c>
      <c r="D22" s="511">
        <v>1.0515000000000001</v>
      </c>
      <c r="E22" s="511">
        <v>0</v>
      </c>
      <c r="F22" s="511">
        <v>0</v>
      </c>
      <c r="G22" s="511">
        <v>0</v>
      </c>
      <c r="H22" s="511">
        <v>0</v>
      </c>
      <c r="I22" s="510"/>
      <c r="K22" s="508">
        <v>0</v>
      </c>
      <c r="L22" s="508">
        <v>1.7165328165350402</v>
      </c>
      <c r="M22" s="508">
        <v>0</v>
      </c>
      <c r="N22" s="508">
        <v>0</v>
      </c>
      <c r="O22" s="508">
        <v>0</v>
      </c>
      <c r="P22" s="509"/>
      <c r="Q22" s="488"/>
      <c r="R22" s="508">
        <v>0</v>
      </c>
      <c r="S22" s="508">
        <v>1.2964749369600002</v>
      </c>
      <c r="T22" s="508">
        <v>0</v>
      </c>
      <c r="U22" s="508">
        <v>0</v>
      </c>
      <c r="V22" s="508">
        <v>0</v>
      </c>
      <c r="W22" s="509"/>
      <c r="X22" s="488"/>
      <c r="Y22" s="508">
        <v>0</v>
      </c>
      <c r="Z22" s="508">
        <v>1.1364612000000001</v>
      </c>
      <c r="AA22" s="508">
        <v>0</v>
      </c>
      <c r="AB22" s="508">
        <v>0</v>
      </c>
      <c r="AC22" s="508">
        <v>0</v>
      </c>
      <c r="AD22" s="488"/>
      <c r="AE22" s="488"/>
      <c r="AF22" s="513"/>
      <c r="AG22" s="488"/>
      <c r="AH22" s="488"/>
      <c r="AI22" s="488"/>
      <c r="AJ22" s="488"/>
      <c r="AK22" s="488"/>
      <c r="AL22" s="488"/>
      <c r="AM22" s="488"/>
      <c r="AN22" s="488"/>
      <c r="AO22" s="488"/>
    </row>
    <row r="23" spans="1:43">
      <c r="A23" s="512" t="s">
        <v>502</v>
      </c>
      <c r="B23" s="512">
        <v>3</v>
      </c>
      <c r="C23" s="511">
        <v>0</v>
      </c>
      <c r="D23" s="511">
        <v>0</v>
      </c>
      <c r="E23" s="511">
        <v>1.0515000000000001</v>
      </c>
      <c r="F23" s="511">
        <v>0</v>
      </c>
      <c r="G23" s="511">
        <v>0</v>
      </c>
      <c r="H23" s="511">
        <v>0</v>
      </c>
      <c r="I23" s="510"/>
      <c r="K23" s="508">
        <v>0</v>
      </c>
      <c r="L23" s="508">
        <v>0</v>
      </c>
      <c r="M23" s="508">
        <v>1.7165328165350402</v>
      </c>
      <c r="N23" s="508">
        <v>0</v>
      </c>
      <c r="O23" s="508">
        <v>0</v>
      </c>
      <c r="P23" s="509"/>
      <c r="Q23" s="488"/>
      <c r="R23" s="508">
        <v>0</v>
      </c>
      <c r="S23" s="508">
        <v>0</v>
      </c>
      <c r="T23" s="508">
        <v>1.2964749369600002</v>
      </c>
      <c r="U23" s="508">
        <v>0</v>
      </c>
      <c r="V23" s="508">
        <v>0</v>
      </c>
      <c r="W23" s="509"/>
      <c r="X23" s="488"/>
      <c r="Y23" s="508">
        <v>0</v>
      </c>
      <c r="Z23" s="508">
        <v>0</v>
      </c>
      <c r="AA23" s="508">
        <v>1.1364612000000001</v>
      </c>
      <c r="AB23" s="508">
        <v>0</v>
      </c>
      <c r="AC23" s="508">
        <v>0</v>
      </c>
      <c r="AD23" s="488"/>
      <c r="AE23" s="488"/>
      <c r="AF23" s="513"/>
      <c r="AG23" s="488"/>
      <c r="AH23" s="488"/>
      <c r="AI23" s="488"/>
      <c r="AJ23" s="488"/>
      <c r="AK23" s="488"/>
      <c r="AL23" s="488"/>
      <c r="AM23" s="488"/>
      <c r="AN23" s="488"/>
      <c r="AO23" s="488"/>
    </row>
    <row r="24" spans="1:43">
      <c r="A24" s="512" t="s">
        <v>502</v>
      </c>
      <c r="B24" s="512">
        <v>4</v>
      </c>
      <c r="C24" s="511">
        <v>0</v>
      </c>
      <c r="D24" s="511">
        <v>0</v>
      </c>
      <c r="E24" s="511">
        <v>0</v>
      </c>
      <c r="F24" s="511">
        <v>1.0515000000000001</v>
      </c>
      <c r="G24" s="511">
        <v>0</v>
      </c>
      <c r="H24" s="511">
        <v>0</v>
      </c>
      <c r="I24" s="510"/>
      <c r="K24" s="508">
        <v>0</v>
      </c>
      <c r="L24" s="508">
        <v>0</v>
      </c>
      <c r="M24" s="508">
        <v>0</v>
      </c>
      <c r="N24" s="508">
        <v>1.7165328165350402</v>
      </c>
      <c r="O24" s="508">
        <v>0</v>
      </c>
      <c r="P24" s="509"/>
      <c r="Q24" s="488"/>
      <c r="R24" s="508">
        <v>0</v>
      </c>
      <c r="S24" s="508">
        <v>0</v>
      </c>
      <c r="T24" s="508">
        <v>0</v>
      </c>
      <c r="U24" s="508">
        <v>1.2964749369600002</v>
      </c>
      <c r="V24" s="508">
        <v>0</v>
      </c>
      <c r="W24" s="509"/>
      <c r="X24" s="488"/>
      <c r="Y24" s="508">
        <v>0</v>
      </c>
      <c r="Z24" s="508">
        <v>0</v>
      </c>
      <c r="AA24" s="508">
        <v>0</v>
      </c>
      <c r="AB24" s="508">
        <v>1.1364612000000001</v>
      </c>
      <c r="AC24" s="508">
        <v>0</v>
      </c>
      <c r="AD24" s="488"/>
      <c r="AE24" s="488"/>
      <c r="AF24" s="513"/>
      <c r="AG24" s="488"/>
      <c r="AH24" s="488"/>
      <c r="AI24" s="488"/>
      <c r="AJ24" s="488"/>
      <c r="AK24" s="488"/>
      <c r="AL24" s="488"/>
      <c r="AM24" s="488"/>
      <c r="AN24" s="488"/>
      <c r="AO24" s="488"/>
    </row>
    <row r="25" spans="1:43">
      <c r="A25" s="512" t="s">
        <v>502</v>
      </c>
      <c r="B25" s="512">
        <v>5</v>
      </c>
      <c r="C25" s="511">
        <v>0</v>
      </c>
      <c r="D25" s="511">
        <v>0</v>
      </c>
      <c r="E25" s="511">
        <v>0</v>
      </c>
      <c r="F25" s="511">
        <v>0</v>
      </c>
      <c r="G25" s="511">
        <v>1.0515000000000001</v>
      </c>
      <c r="H25" s="511">
        <v>0</v>
      </c>
      <c r="I25" s="510"/>
      <c r="K25" s="508">
        <v>0</v>
      </c>
      <c r="L25" s="508">
        <v>0</v>
      </c>
      <c r="M25" s="508">
        <v>0</v>
      </c>
      <c r="N25" s="508">
        <v>0</v>
      </c>
      <c r="O25" s="508">
        <v>1.7165328165350402</v>
      </c>
      <c r="P25" s="509"/>
      <c r="Q25" s="488"/>
      <c r="R25" s="508">
        <v>0</v>
      </c>
      <c r="S25" s="508">
        <v>0</v>
      </c>
      <c r="T25" s="508">
        <v>0</v>
      </c>
      <c r="U25" s="508">
        <v>0</v>
      </c>
      <c r="V25" s="508">
        <v>1.2964749369600002</v>
      </c>
      <c r="W25" s="488"/>
      <c r="X25" s="488"/>
      <c r="Y25" s="508">
        <v>0</v>
      </c>
      <c r="Z25" s="508">
        <v>0</v>
      </c>
      <c r="AA25" s="508">
        <v>0</v>
      </c>
      <c r="AB25" s="508">
        <v>0</v>
      </c>
      <c r="AC25" s="508">
        <v>1.1364612000000001</v>
      </c>
      <c r="AD25" s="488"/>
      <c r="AE25" s="488"/>
      <c r="AF25" s="488"/>
      <c r="AG25" s="488"/>
      <c r="AH25" s="488"/>
      <c r="AI25" s="488"/>
      <c r="AJ25" s="488"/>
      <c r="AK25" s="488"/>
      <c r="AL25" s="488"/>
      <c r="AM25" s="488"/>
      <c r="AN25" s="488"/>
      <c r="AO25" s="488"/>
    </row>
    <row r="26" spans="1:43" ht="15" thickBot="1">
      <c r="I26" s="486"/>
      <c r="Y26" s="488"/>
      <c r="Z26" s="488"/>
      <c r="AA26" s="488"/>
      <c r="AB26" s="488"/>
      <c r="AC26" s="488"/>
    </row>
    <row r="27" spans="1:43" ht="15" thickTop="1">
      <c r="A27" s="507" t="s">
        <v>501</v>
      </c>
      <c r="B27" s="506" t="s">
        <v>116</v>
      </c>
      <c r="C27" s="505" t="s">
        <v>296</v>
      </c>
      <c r="D27" s="504"/>
      <c r="E27" s="504"/>
      <c r="F27" s="504"/>
      <c r="G27" s="503"/>
      <c r="I27" s="486"/>
      <c r="K27" s="502"/>
    </row>
    <row r="28" spans="1:43" ht="15" thickBot="1">
      <c r="A28" s="725" t="s">
        <v>581</v>
      </c>
      <c r="B28" s="501" t="s">
        <v>118</v>
      </c>
      <c r="C28" s="500" t="s">
        <v>13</v>
      </c>
      <c r="D28" s="500" t="s">
        <v>8</v>
      </c>
      <c r="E28" s="500" t="s">
        <v>14</v>
      </c>
      <c r="F28" s="500" t="s">
        <v>15</v>
      </c>
      <c r="G28" s="499" t="s">
        <v>16</v>
      </c>
      <c r="I28" s="486"/>
      <c r="J28" s="487"/>
      <c r="K28" s="487" t="s">
        <v>7</v>
      </c>
      <c r="L28" s="487" t="s">
        <v>241</v>
      </c>
      <c r="M28" s="487" t="s">
        <v>499</v>
      </c>
      <c r="N28" s="487" t="s">
        <v>498</v>
      </c>
      <c r="O28" s="487" t="s">
        <v>242</v>
      </c>
      <c r="Q28" s="487"/>
      <c r="R28" s="487" t="s">
        <v>7</v>
      </c>
      <c r="S28" s="487" t="s">
        <v>241</v>
      </c>
      <c r="T28" s="487" t="s">
        <v>499</v>
      </c>
      <c r="U28" s="487" t="s">
        <v>498</v>
      </c>
      <c r="V28" s="487" t="s">
        <v>242</v>
      </c>
      <c r="X28" s="487"/>
      <c r="Y28" s="487" t="s">
        <v>7</v>
      </c>
      <c r="Z28" s="487" t="s">
        <v>241</v>
      </c>
      <c r="AA28" s="487" t="s">
        <v>499</v>
      </c>
      <c r="AB28" s="487" t="s">
        <v>498</v>
      </c>
      <c r="AC28" s="487" t="s">
        <v>242</v>
      </c>
      <c r="AE28" s="487"/>
      <c r="AF28" s="487" t="s">
        <v>7</v>
      </c>
      <c r="AG28" s="487" t="s">
        <v>241</v>
      </c>
      <c r="AH28" s="487" t="s">
        <v>499</v>
      </c>
      <c r="AI28" s="487" t="s">
        <v>498</v>
      </c>
      <c r="AJ28" s="487" t="s">
        <v>242</v>
      </c>
      <c r="AL28" s="487"/>
      <c r="AM28" s="487" t="s">
        <v>7</v>
      </c>
      <c r="AN28" s="487" t="s">
        <v>241</v>
      </c>
      <c r="AO28" s="487" t="s">
        <v>499</v>
      </c>
      <c r="AP28" s="487" t="s">
        <v>498</v>
      </c>
      <c r="AQ28" s="487" t="s">
        <v>242</v>
      </c>
    </row>
    <row r="29" spans="1:43" ht="15" thickTop="1">
      <c r="B29" s="496">
        <v>2015</v>
      </c>
      <c r="C29" s="498">
        <v>1.756</v>
      </c>
      <c r="D29" s="498">
        <v>1.756</v>
      </c>
      <c r="E29" s="498">
        <v>1.756</v>
      </c>
      <c r="F29" s="498">
        <v>1.756</v>
      </c>
      <c r="G29" s="497">
        <v>1.756</v>
      </c>
      <c r="I29" s="486"/>
      <c r="J29" s="487">
        <f>B33</f>
        <v>2019</v>
      </c>
      <c r="K29" s="493">
        <f t="shared" ref="K29:O33" si="0">+ROUND(K21*C$33,4)</f>
        <v>3.0142000000000002</v>
      </c>
      <c r="L29" s="493">
        <f t="shared" si="0"/>
        <v>0</v>
      </c>
      <c r="M29" s="493">
        <f t="shared" si="0"/>
        <v>0</v>
      </c>
      <c r="N29" s="493">
        <f t="shared" si="0"/>
        <v>0</v>
      </c>
      <c r="O29" s="493">
        <f t="shared" si="0"/>
        <v>0</v>
      </c>
      <c r="Q29" s="487">
        <f>B32</f>
        <v>2018</v>
      </c>
      <c r="R29" s="493">
        <f t="shared" ref="R29:V33" si="1">+ROUND(R21*C$32,4)</f>
        <v>2.2766000000000002</v>
      </c>
      <c r="S29" s="493">
        <f t="shared" si="1"/>
        <v>0</v>
      </c>
      <c r="T29" s="493">
        <f t="shared" si="1"/>
        <v>0</v>
      </c>
      <c r="U29" s="493">
        <f t="shared" si="1"/>
        <v>0</v>
      </c>
      <c r="V29" s="493">
        <f t="shared" si="1"/>
        <v>0</v>
      </c>
      <c r="X29" s="487">
        <f>B31</f>
        <v>2017</v>
      </c>
      <c r="Y29" s="493">
        <f t="shared" ref="Y29:AC33" si="2">+ROUND(C$31*Y21,4)</f>
        <v>1.9956</v>
      </c>
      <c r="Z29" s="493">
        <f t="shared" si="2"/>
        <v>0</v>
      </c>
      <c r="AA29" s="493">
        <f t="shared" si="2"/>
        <v>0</v>
      </c>
      <c r="AB29" s="493">
        <f t="shared" si="2"/>
        <v>0</v>
      </c>
      <c r="AC29" s="493">
        <f t="shared" si="2"/>
        <v>0</v>
      </c>
      <c r="AE29" s="487">
        <f>B30</f>
        <v>2016</v>
      </c>
      <c r="AF29" s="493">
        <f t="shared" ref="AF29:AJ33" si="3">+ROUND(C21*C$30,4)</f>
        <v>1.8464</v>
      </c>
      <c r="AG29" s="493">
        <f t="shared" si="3"/>
        <v>0</v>
      </c>
      <c r="AH29" s="493">
        <f t="shared" si="3"/>
        <v>0</v>
      </c>
      <c r="AI29" s="493">
        <f t="shared" si="3"/>
        <v>0</v>
      </c>
      <c r="AJ29" s="493">
        <f t="shared" si="3"/>
        <v>0</v>
      </c>
      <c r="AL29" s="487">
        <f>B29</f>
        <v>2015</v>
      </c>
      <c r="AM29" s="493">
        <f>1*C$29</f>
        <v>1.756</v>
      </c>
      <c r="AN29" s="493">
        <v>0</v>
      </c>
      <c r="AO29" s="493">
        <v>0</v>
      </c>
      <c r="AP29" s="493">
        <v>0</v>
      </c>
      <c r="AQ29" s="493">
        <v>0</v>
      </c>
    </row>
    <row r="30" spans="1:43">
      <c r="B30" s="496">
        <v>2016</v>
      </c>
      <c r="C30" s="498">
        <v>1.756</v>
      </c>
      <c r="D30" s="498">
        <v>1.756</v>
      </c>
      <c r="E30" s="498">
        <v>1.756</v>
      </c>
      <c r="F30" s="498">
        <v>1.756</v>
      </c>
      <c r="G30" s="497">
        <v>1.756</v>
      </c>
      <c r="I30" s="486"/>
      <c r="J30" s="487">
        <f>J29</f>
        <v>2019</v>
      </c>
      <c r="K30" s="493">
        <f t="shared" si="0"/>
        <v>0</v>
      </c>
      <c r="L30" s="493">
        <f t="shared" si="0"/>
        <v>3.0142000000000002</v>
      </c>
      <c r="M30" s="493">
        <f t="shared" si="0"/>
        <v>0</v>
      </c>
      <c r="N30" s="493">
        <f t="shared" si="0"/>
        <v>0</v>
      </c>
      <c r="O30" s="493">
        <f t="shared" si="0"/>
        <v>0</v>
      </c>
      <c r="Q30" s="487">
        <f>Q29</f>
        <v>2018</v>
      </c>
      <c r="R30" s="493">
        <f t="shared" si="1"/>
        <v>0</v>
      </c>
      <c r="S30" s="493">
        <f t="shared" si="1"/>
        <v>2.2766000000000002</v>
      </c>
      <c r="T30" s="493">
        <f t="shared" si="1"/>
        <v>0</v>
      </c>
      <c r="U30" s="493">
        <f t="shared" si="1"/>
        <v>0</v>
      </c>
      <c r="V30" s="493">
        <f t="shared" si="1"/>
        <v>0</v>
      </c>
      <c r="X30" s="487">
        <f>X29</f>
        <v>2017</v>
      </c>
      <c r="Y30" s="493">
        <f t="shared" si="2"/>
        <v>0</v>
      </c>
      <c r="Z30" s="493">
        <f t="shared" si="2"/>
        <v>1.9956</v>
      </c>
      <c r="AA30" s="493">
        <f t="shared" si="2"/>
        <v>0</v>
      </c>
      <c r="AB30" s="493">
        <f t="shared" si="2"/>
        <v>0</v>
      </c>
      <c r="AC30" s="493">
        <f t="shared" si="2"/>
        <v>0</v>
      </c>
      <c r="AE30" s="487">
        <f>AE29</f>
        <v>2016</v>
      </c>
      <c r="AF30" s="493">
        <f t="shared" si="3"/>
        <v>0</v>
      </c>
      <c r="AG30" s="493">
        <f t="shared" si="3"/>
        <v>1.8464</v>
      </c>
      <c r="AH30" s="493">
        <f t="shared" si="3"/>
        <v>0</v>
      </c>
      <c r="AI30" s="493">
        <f t="shared" si="3"/>
        <v>0</v>
      </c>
      <c r="AJ30" s="493">
        <f t="shared" si="3"/>
        <v>0</v>
      </c>
      <c r="AL30" s="487">
        <f>AL29</f>
        <v>2015</v>
      </c>
      <c r="AM30" s="493">
        <v>0</v>
      </c>
      <c r="AN30" s="493">
        <f>1*D$29</f>
        <v>1.756</v>
      </c>
      <c r="AO30" s="493">
        <v>0</v>
      </c>
      <c r="AP30" s="493">
        <v>0</v>
      </c>
      <c r="AQ30" s="493">
        <v>0</v>
      </c>
    </row>
    <row r="31" spans="1:43">
      <c r="B31" s="496">
        <v>2017</v>
      </c>
      <c r="C31" s="498">
        <v>1.756</v>
      </c>
      <c r="D31" s="498">
        <v>1.756</v>
      </c>
      <c r="E31" s="498">
        <v>1.756</v>
      </c>
      <c r="F31" s="498">
        <v>1.756</v>
      </c>
      <c r="G31" s="497">
        <v>1.756</v>
      </c>
      <c r="I31" s="486"/>
      <c r="J31" s="487">
        <f t="shared" ref="J31:J33" si="4">J30</f>
        <v>2019</v>
      </c>
      <c r="K31" s="493">
        <f t="shared" si="0"/>
        <v>0</v>
      </c>
      <c r="L31" s="493">
        <f t="shared" si="0"/>
        <v>0</v>
      </c>
      <c r="M31" s="493">
        <f t="shared" si="0"/>
        <v>3.0142000000000002</v>
      </c>
      <c r="N31" s="493">
        <f t="shared" si="0"/>
        <v>0</v>
      </c>
      <c r="O31" s="493">
        <f t="shared" si="0"/>
        <v>0</v>
      </c>
      <c r="Q31" s="487">
        <f t="shared" ref="Q31:Q33" si="5">Q30</f>
        <v>2018</v>
      </c>
      <c r="R31" s="493">
        <f t="shared" si="1"/>
        <v>0</v>
      </c>
      <c r="S31" s="493">
        <f t="shared" si="1"/>
        <v>0</v>
      </c>
      <c r="T31" s="493">
        <f t="shared" si="1"/>
        <v>2.2766000000000002</v>
      </c>
      <c r="U31" s="493">
        <f t="shared" si="1"/>
        <v>0</v>
      </c>
      <c r="V31" s="493">
        <f t="shared" si="1"/>
        <v>0</v>
      </c>
      <c r="X31" s="487">
        <f t="shared" ref="X31:X33" si="6">X30</f>
        <v>2017</v>
      </c>
      <c r="Y31" s="493">
        <f t="shared" si="2"/>
        <v>0</v>
      </c>
      <c r="Z31" s="493">
        <f t="shared" si="2"/>
        <v>0</v>
      </c>
      <c r="AA31" s="493">
        <f t="shared" si="2"/>
        <v>1.9956</v>
      </c>
      <c r="AB31" s="493">
        <f t="shared" si="2"/>
        <v>0</v>
      </c>
      <c r="AC31" s="493">
        <f t="shared" si="2"/>
        <v>0</v>
      </c>
      <c r="AE31" s="487">
        <f t="shared" ref="AE31:AE33" si="7">AE30</f>
        <v>2016</v>
      </c>
      <c r="AF31" s="493">
        <f t="shared" si="3"/>
        <v>0</v>
      </c>
      <c r="AG31" s="493">
        <f t="shared" si="3"/>
        <v>0</v>
      </c>
      <c r="AH31" s="493">
        <f t="shared" si="3"/>
        <v>1.8464</v>
      </c>
      <c r="AI31" s="493">
        <f t="shared" si="3"/>
        <v>0</v>
      </c>
      <c r="AJ31" s="493">
        <f t="shared" si="3"/>
        <v>0</v>
      </c>
      <c r="AL31" s="487">
        <f t="shared" ref="AL31:AL33" si="8">AL30</f>
        <v>2015</v>
      </c>
      <c r="AM31" s="493">
        <v>0</v>
      </c>
      <c r="AN31" s="493">
        <v>0</v>
      </c>
      <c r="AO31" s="493">
        <f>1*E$29</f>
        <v>1.756</v>
      </c>
      <c r="AP31" s="493">
        <v>0</v>
      </c>
      <c r="AQ31" s="493">
        <v>0</v>
      </c>
    </row>
    <row r="32" spans="1:43">
      <c r="B32" s="496">
        <v>2018</v>
      </c>
      <c r="C32" s="498">
        <v>1.756</v>
      </c>
      <c r="D32" s="498">
        <v>1.756</v>
      </c>
      <c r="E32" s="498">
        <v>1.756</v>
      </c>
      <c r="F32" s="498">
        <v>1.756</v>
      </c>
      <c r="G32" s="497">
        <v>1.756</v>
      </c>
      <c r="I32" s="486"/>
      <c r="J32" s="487">
        <f t="shared" si="4"/>
        <v>2019</v>
      </c>
      <c r="K32" s="493">
        <f t="shared" si="0"/>
        <v>0</v>
      </c>
      <c r="L32" s="493">
        <f t="shared" si="0"/>
        <v>0</v>
      </c>
      <c r="M32" s="493">
        <f t="shared" si="0"/>
        <v>0</v>
      </c>
      <c r="N32" s="493">
        <f t="shared" si="0"/>
        <v>3.0142000000000002</v>
      </c>
      <c r="O32" s="493">
        <f t="shared" si="0"/>
        <v>0</v>
      </c>
      <c r="Q32" s="487">
        <f t="shared" si="5"/>
        <v>2018</v>
      </c>
      <c r="R32" s="493">
        <f t="shared" si="1"/>
        <v>0</v>
      </c>
      <c r="S32" s="493">
        <f t="shared" si="1"/>
        <v>0</v>
      </c>
      <c r="T32" s="493">
        <f t="shared" si="1"/>
        <v>0</v>
      </c>
      <c r="U32" s="493">
        <f t="shared" si="1"/>
        <v>2.2766000000000002</v>
      </c>
      <c r="V32" s="493">
        <f t="shared" si="1"/>
        <v>0</v>
      </c>
      <c r="X32" s="487">
        <f t="shared" si="6"/>
        <v>2017</v>
      </c>
      <c r="Y32" s="493">
        <f t="shared" si="2"/>
        <v>0</v>
      </c>
      <c r="Z32" s="493">
        <f t="shared" si="2"/>
        <v>0</v>
      </c>
      <c r="AA32" s="493">
        <f t="shared" si="2"/>
        <v>0</v>
      </c>
      <c r="AB32" s="493">
        <f t="shared" si="2"/>
        <v>1.9956</v>
      </c>
      <c r="AC32" s="493">
        <f t="shared" si="2"/>
        <v>0</v>
      </c>
      <c r="AE32" s="487">
        <f t="shared" si="7"/>
        <v>2016</v>
      </c>
      <c r="AF32" s="493">
        <f t="shared" si="3"/>
        <v>0</v>
      </c>
      <c r="AG32" s="493">
        <f t="shared" si="3"/>
        <v>0</v>
      </c>
      <c r="AH32" s="493">
        <f t="shared" si="3"/>
        <v>0</v>
      </c>
      <c r="AI32" s="493">
        <f t="shared" si="3"/>
        <v>1.8464</v>
      </c>
      <c r="AJ32" s="493">
        <f t="shared" si="3"/>
        <v>0</v>
      </c>
      <c r="AL32" s="487">
        <f t="shared" si="8"/>
        <v>2015</v>
      </c>
      <c r="AM32" s="493">
        <v>0</v>
      </c>
      <c r="AN32" s="493">
        <v>0</v>
      </c>
      <c r="AO32" s="493">
        <v>0</v>
      </c>
      <c r="AP32" s="493">
        <f>1*F$29</f>
        <v>1.756</v>
      </c>
      <c r="AQ32" s="493">
        <v>0</v>
      </c>
    </row>
    <row r="33" spans="2:43" ht="15" thickBot="1">
      <c r="B33" s="496">
        <v>2019</v>
      </c>
      <c r="C33" s="495">
        <v>1.756</v>
      </c>
      <c r="D33" s="495">
        <v>1.756</v>
      </c>
      <c r="E33" s="495">
        <v>1.756</v>
      </c>
      <c r="F33" s="495">
        <v>1.756</v>
      </c>
      <c r="G33" s="494">
        <v>1.756</v>
      </c>
      <c r="I33" s="486"/>
      <c r="J33" s="487">
        <f t="shared" si="4"/>
        <v>2019</v>
      </c>
      <c r="K33" s="493">
        <f t="shared" si="0"/>
        <v>0</v>
      </c>
      <c r="L33" s="493">
        <f t="shared" si="0"/>
        <v>0</v>
      </c>
      <c r="M33" s="493">
        <f t="shared" si="0"/>
        <v>0</v>
      </c>
      <c r="N33" s="493">
        <f t="shared" si="0"/>
        <v>0</v>
      </c>
      <c r="O33" s="493">
        <f t="shared" si="0"/>
        <v>3.0142000000000002</v>
      </c>
      <c r="Q33" s="487">
        <f t="shared" si="5"/>
        <v>2018</v>
      </c>
      <c r="R33" s="493">
        <f t="shared" si="1"/>
        <v>0</v>
      </c>
      <c r="S33" s="493">
        <f t="shared" si="1"/>
        <v>0</v>
      </c>
      <c r="T33" s="493">
        <f t="shared" si="1"/>
        <v>0</v>
      </c>
      <c r="U33" s="493">
        <f t="shared" si="1"/>
        <v>0</v>
      </c>
      <c r="V33" s="493">
        <f t="shared" si="1"/>
        <v>2.2766000000000002</v>
      </c>
      <c r="X33" s="487">
        <f t="shared" si="6"/>
        <v>2017</v>
      </c>
      <c r="Y33" s="493">
        <f t="shared" si="2"/>
        <v>0</v>
      </c>
      <c r="Z33" s="493">
        <f t="shared" si="2"/>
        <v>0</v>
      </c>
      <c r="AA33" s="493">
        <f t="shared" si="2"/>
        <v>0</v>
      </c>
      <c r="AB33" s="493">
        <f t="shared" si="2"/>
        <v>0</v>
      </c>
      <c r="AC33" s="493">
        <f t="shared" si="2"/>
        <v>1.9956</v>
      </c>
      <c r="AE33" s="487">
        <f t="shared" si="7"/>
        <v>2016</v>
      </c>
      <c r="AF33" s="493">
        <f t="shared" si="3"/>
        <v>0</v>
      </c>
      <c r="AG33" s="493">
        <f t="shared" si="3"/>
        <v>0</v>
      </c>
      <c r="AH33" s="493">
        <f t="shared" si="3"/>
        <v>0</v>
      </c>
      <c r="AI33" s="493">
        <f t="shared" si="3"/>
        <v>0</v>
      </c>
      <c r="AJ33" s="493">
        <f t="shared" si="3"/>
        <v>1.8464</v>
      </c>
      <c r="AL33" s="487">
        <f t="shared" si="8"/>
        <v>2015</v>
      </c>
      <c r="AM33" s="493">
        <v>0</v>
      </c>
      <c r="AN33" s="493">
        <v>0</v>
      </c>
      <c r="AO33" s="493">
        <v>0</v>
      </c>
      <c r="AP33" s="493">
        <v>0</v>
      </c>
      <c r="AQ33" s="493">
        <f>1*G$29</f>
        <v>1.756</v>
      </c>
    </row>
    <row r="34" spans="2:43" ht="15" thickTop="1">
      <c r="I34" s="486"/>
    </row>
    <row r="35" spans="2:43" ht="15" thickBot="1">
      <c r="I35" s="486"/>
    </row>
    <row r="36" spans="2:43" ht="15" thickBot="1">
      <c r="I36" s="486"/>
      <c r="J36" s="492" t="s">
        <v>500</v>
      </c>
      <c r="K36" s="491"/>
      <c r="L36" s="491"/>
      <c r="M36" s="491"/>
      <c r="N36" s="491"/>
      <c r="O36" s="490"/>
    </row>
    <row r="37" spans="2:43">
      <c r="I37" s="486"/>
      <c r="J37" s="484" t="s">
        <v>7</v>
      </c>
      <c r="K37" s="489" t="s">
        <v>7</v>
      </c>
      <c r="L37" s="489" t="s">
        <v>241</v>
      </c>
      <c r="M37" s="489" t="s">
        <v>499</v>
      </c>
      <c r="N37" s="489" t="s">
        <v>498</v>
      </c>
      <c r="O37" s="489" t="s">
        <v>242</v>
      </c>
    </row>
    <row r="38" spans="2:43">
      <c r="I38" s="486"/>
      <c r="J38" s="484">
        <f>B29</f>
        <v>2015</v>
      </c>
      <c r="K38" s="485">
        <f>+AM29</f>
        <v>1.756</v>
      </c>
      <c r="L38" s="488"/>
      <c r="M38" s="488"/>
      <c r="N38" s="488"/>
      <c r="O38" s="488"/>
    </row>
    <row r="39" spans="2:43">
      <c r="I39" s="486"/>
      <c r="J39" s="484">
        <f t="shared" ref="J39:J42" si="9">B30</f>
        <v>2016</v>
      </c>
      <c r="K39" s="485">
        <f>+AF29</f>
        <v>1.8464</v>
      </c>
      <c r="L39" s="488"/>
      <c r="M39" s="488"/>
      <c r="N39" s="488"/>
      <c r="O39" s="488"/>
    </row>
    <row r="40" spans="2:43">
      <c r="I40" s="486"/>
      <c r="J40" s="484">
        <f t="shared" si="9"/>
        <v>2017</v>
      </c>
      <c r="K40" s="485">
        <f>+Y29</f>
        <v>1.9956</v>
      </c>
      <c r="L40" s="488"/>
      <c r="M40" s="488"/>
      <c r="N40" s="488"/>
      <c r="O40" s="488"/>
    </row>
    <row r="41" spans="2:43">
      <c r="I41" s="486"/>
      <c r="J41" s="484">
        <f t="shared" si="9"/>
        <v>2018</v>
      </c>
      <c r="K41" s="485">
        <f>+R29</f>
        <v>2.2766000000000002</v>
      </c>
      <c r="L41" s="488"/>
      <c r="M41" s="488"/>
      <c r="N41" s="488"/>
      <c r="O41" s="488"/>
    </row>
    <row r="42" spans="2:43">
      <c r="I42" s="486"/>
      <c r="J42" s="484">
        <f t="shared" si="9"/>
        <v>2019</v>
      </c>
      <c r="K42" s="485">
        <f>+K29</f>
        <v>3.0142000000000002</v>
      </c>
      <c r="L42" s="488"/>
      <c r="M42" s="488"/>
      <c r="N42" s="488"/>
      <c r="O42" s="488"/>
    </row>
    <row r="43" spans="2:43">
      <c r="I43" s="486"/>
      <c r="J43" s="484" t="s">
        <v>497</v>
      </c>
      <c r="K43" s="485">
        <f>+SUM(K38:K42)</f>
        <v>10.888800000000002</v>
      </c>
      <c r="L43" s="485">
        <f>+SUM(L38:L42)</f>
        <v>0</v>
      </c>
      <c r="M43" s="485">
        <f>+SUM(M38:M42)</f>
        <v>0</v>
      </c>
      <c r="N43" s="485">
        <f>+SUM(N38:N42)</f>
        <v>0</v>
      </c>
      <c r="O43" s="485">
        <f>+SUM(O38:O42)</f>
        <v>0</v>
      </c>
    </row>
    <row r="44" spans="2:43">
      <c r="I44" s="486"/>
      <c r="J44" s="484" t="s">
        <v>241</v>
      </c>
      <c r="K44" s="487" t="s">
        <v>7</v>
      </c>
      <c r="L44" s="487" t="s">
        <v>241</v>
      </c>
      <c r="M44" s="487" t="s">
        <v>499</v>
      </c>
      <c r="N44" s="487" t="s">
        <v>498</v>
      </c>
      <c r="O44" s="487" t="s">
        <v>242</v>
      </c>
    </row>
    <row r="45" spans="2:43">
      <c r="I45" s="486"/>
      <c r="J45" s="484">
        <f>J38</f>
        <v>2015</v>
      </c>
      <c r="K45" s="485">
        <f>+AM30</f>
        <v>0</v>
      </c>
      <c r="L45" s="485">
        <f>+AN30</f>
        <v>1.756</v>
      </c>
      <c r="M45" s="485">
        <f>+AO30</f>
        <v>0</v>
      </c>
      <c r="N45" s="485">
        <f>+AP30</f>
        <v>0</v>
      </c>
      <c r="O45" s="485">
        <f>+AQ30</f>
        <v>0</v>
      </c>
    </row>
    <row r="46" spans="2:43">
      <c r="I46" s="486"/>
      <c r="J46" s="484">
        <f t="shared" ref="J46:J49" si="10">J39</f>
        <v>2016</v>
      </c>
      <c r="K46" s="485">
        <f>+AF30</f>
        <v>0</v>
      </c>
      <c r="L46" s="485">
        <f>+AG30</f>
        <v>1.8464</v>
      </c>
      <c r="M46" s="485">
        <f>+AH30</f>
        <v>0</v>
      </c>
      <c r="N46" s="485">
        <f>+AI30</f>
        <v>0</v>
      </c>
      <c r="O46" s="485">
        <f>+AJ30</f>
        <v>0</v>
      </c>
    </row>
    <row r="47" spans="2:43">
      <c r="I47" s="486"/>
      <c r="J47" s="484">
        <f t="shared" si="10"/>
        <v>2017</v>
      </c>
      <c r="K47" s="485">
        <f>+Y30</f>
        <v>0</v>
      </c>
      <c r="L47" s="485">
        <f>+Z30</f>
        <v>1.9956</v>
      </c>
      <c r="M47" s="485">
        <f>+AA30</f>
        <v>0</v>
      </c>
      <c r="N47" s="485">
        <f>+AB30</f>
        <v>0</v>
      </c>
      <c r="O47" s="485">
        <f>+AC30</f>
        <v>0</v>
      </c>
    </row>
    <row r="48" spans="2:43">
      <c r="I48" s="486"/>
      <c r="J48" s="484">
        <f t="shared" si="10"/>
        <v>2018</v>
      </c>
      <c r="K48" s="485">
        <f>+R30</f>
        <v>0</v>
      </c>
      <c r="L48" s="485">
        <f>+S30</f>
        <v>2.2766000000000002</v>
      </c>
      <c r="M48" s="485">
        <f>+T30</f>
        <v>0</v>
      </c>
      <c r="N48" s="485">
        <f>+U30</f>
        <v>0</v>
      </c>
      <c r="O48" s="485">
        <f>+V30</f>
        <v>0</v>
      </c>
    </row>
    <row r="49" spans="9:15">
      <c r="I49" s="486"/>
      <c r="J49" s="484">
        <f t="shared" si="10"/>
        <v>2019</v>
      </c>
      <c r="K49" s="485">
        <f>+K30</f>
        <v>0</v>
      </c>
      <c r="L49" s="485">
        <f>+L30</f>
        <v>3.0142000000000002</v>
      </c>
      <c r="M49" s="485">
        <f>+M30</f>
        <v>0</v>
      </c>
      <c r="N49" s="485">
        <f>+N30</f>
        <v>0</v>
      </c>
      <c r="O49" s="485">
        <f>+O30</f>
        <v>0</v>
      </c>
    </row>
    <row r="50" spans="9:15">
      <c r="I50" s="486"/>
      <c r="J50" s="484" t="s">
        <v>497</v>
      </c>
      <c r="K50" s="485">
        <f>+SUM(K45:K49)</f>
        <v>0</v>
      </c>
      <c r="L50" s="485">
        <f>+SUM(L45:L49)</f>
        <v>10.888800000000002</v>
      </c>
      <c r="M50" s="485">
        <f>+SUM(M45:M49)</f>
        <v>0</v>
      </c>
      <c r="N50" s="485">
        <f>+SUM(N45:N49)</f>
        <v>0</v>
      </c>
      <c r="O50" s="485">
        <f>+SUM(O45:O49)</f>
        <v>0</v>
      </c>
    </row>
    <row r="51" spans="9:15">
      <c r="I51" s="486"/>
      <c r="J51" s="484" t="s">
        <v>9</v>
      </c>
      <c r="K51" s="487" t="s">
        <v>7</v>
      </c>
      <c r="L51" s="487" t="s">
        <v>241</v>
      </c>
      <c r="M51" s="487" t="s">
        <v>499</v>
      </c>
      <c r="N51" s="487" t="s">
        <v>498</v>
      </c>
      <c r="O51" s="487" t="s">
        <v>242</v>
      </c>
    </row>
    <row r="52" spans="9:15">
      <c r="I52" s="486"/>
      <c r="J52" s="484">
        <f>J45</f>
        <v>2015</v>
      </c>
      <c r="K52" s="485">
        <f>+AM31</f>
        <v>0</v>
      </c>
      <c r="L52" s="485">
        <f>+AN31</f>
        <v>0</v>
      </c>
      <c r="M52" s="485">
        <f>+AO31</f>
        <v>1.756</v>
      </c>
      <c r="N52" s="485">
        <f>+AP31</f>
        <v>0</v>
      </c>
      <c r="O52" s="485">
        <f>+AQ31</f>
        <v>0</v>
      </c>
    </row>
    <row r="53" spans="9:15">
      <c r="I53" s="486"/>
      <c r="J53" s="484">
        <f t="shared" ref="J53:J56" si="11">J46</f>
        <v>2016</v>
      </c>
      <c r="K53" s="485">
        <f>+AF31</f>
        <v>0</v>
      </c>
      <c r="L53" s="485">
        <f>+AG31</f>
        <v>0</v>
      </c>
      <c r="M53" s="485">
        <f>+AH31</f>
        <v>1.8464</v>
      </c>
      <c r="N53" s="485">
        <f>+AI31</f>
        <v>0</v>
      </c>
      <c r="O53" s="485">
        <f>+AJ31</f>
        <v>0</v>
      </c>
    </row>
    <row r="54" spans="9:15">
      <c r="I54" s="486"/>
      <c r="J54" s="484">
        <f t="shared" si="11"/>
        <v>2017</v>
      </c>
      <c r="K54" s="485">
        <f>+Y31</f>
        <v>0</v>
      </c>
      <c r="L54" s="485">
        <f>+Z31</f>
        <v>0</v>
      </c>
      <c r="M54" s="485">
        <f>+AA31</f>
        <v>1.9956</v>
      </c>
      <c r="N54" s="485">
        <f>+AB31</f>
        <v>0</v>
      </c>
      <c r="O54" s="485">
        <f>+AC31</f>
        <v>0</v>
      </c>
    </row>
    <row r="55" spans="9:15">
      <c r="I55" s="486"/>
      <c r="J55" s="484">
        <f t="shared" si="11"/>
        <v>2018</v>
      </c>
      <c r="K55" s="485">
        <f>+R31</f>
        <v>0</v>
      </c>
      <c r="L55" s="485">
        <f>+S31</f>
        <v>0</v>
      </c>
      <c r="M55" s="485">
        <f>+T31</f>
        <v>2.2766000000000002</v>
      </c>
      <c r="N55" s="485">
        <f>+U31</f>
        <v>0</v>
      </c>
      <c r="O55" s="485">
        <f>+V31</f>
        <v>0</v>
      </c>
    </row>
    <row r="56" spans="9:15">
      <c r="I56" s="486"/>
      <c r="J56" s="484">
        <f t="shared" si="11"/>
        <v>2019</v>
      </c>
      <c r="K56" s="485">
        <f>+K31</f>
        <v>0</v>
      </c>
      <c r="L56" s="485">
        <f>+L31</f>
        <v>0</v>
      </c>
      <c r="M56" s="485">
        <f>+M31</f>
        <v>3.0142000000000002</v>
      </c>
      <c r="N56" s="485">
        <f>+N31</f>
        <v>0</v>
      </c>
      <c r="O56" s="485">
        <f>+O31</f>
        <v>0</v>
      </c>
    </row>
    <row r="57" spans="9:15">
      <c r="I57" s="486"/>
      <c r="J57" s="484" t="s">
        <v>497</v>
      </c>
      <c r="K57" s="485">
        <f>+SUM(K52:K56)</f>
        <v>0</v>
      </c>
      <c r="L57" s="485">
        <f>+SUM(L52:L56)</f>
        <v>0</v>
      </c>
      <c r="M57" s="485">
        <f>+SUM(M52:M56)</f>
        <v>10.888800000000002</v>
      </c>
      <c r="N57" s="485">
        <f>+SUM(N52:N56)</f>
        <v>0</v>
      </c>
      <c r="O57" s="485">
        <f>+SUM(O52:O56)</f>
        <v>0</v>
      </c>
    </row>
    <row r="58" spans="9:15">
      <c r="I58" s="486"/>
      <c r="J58" s="484" t="s">
        <v>10</v>
      </c>
      <c r="K58" s="487" t="s">
        <v>7</v>
      </c>
      <c r="L58" s="487" t="s">
        <v>241</v>
      </c>
      <c r="M58" s="487" t="s">
        <v>499</v>
      </c>
      <c r="N58" s="487" t="s">
        <v>498</v>
      </c>
      <c r="O58" s="487" t="s">
        <v>242</v>
      </c>
    </row>
    <row r="59" spans="9:15">
      <c r="I59" s="486"/>
      <c r="J59" s="484">
        <f>J52</f>
        <v>2015</v>
      </c>
      <c r="K59" s="485">
        <f>+AM32</f>
        <v>0</v>
      </c>
      <c r="L59" s="485">
        <f>+AN32</f>
        <v>0</v>
      </c>
      <c r="M59" s="485">
        <f>+AO32</f>
        <v>0</v>
      </c>
      <c r="N59" s="485">
        <f>+AP32</f>
        <v>1.756</v>
      </c>
      <c r="O59" s="485">
        <f>+AQ32</f>
        <v>0</v>
      </c>
    </row>
    <row r="60" spans="9:15">
      <c r="I60" s="486"/>
      <c r="J60" s="484">
        <f t="shared" ref="J60:J63" si="12">J53</f>
        <v>2016</v>
      </c>
      <c r="K60" s="485">
        <f>+AF32</f>
        <v>0</v>
      </c>
      <c r="L60" s="485">
        <f>+AG32</f>
        <v>0</v>
      </c>
      <c r="M60" s="485">
        <f>+AH32</f>
        <v>0</v>
      </c>
      <c r="N60" s="485">
        <f>+AI32</f>
        <v>1.8464</v>
      </c>
      <c r="O60" s="485">
        <f>+AJ32</f>
        <v>0</v>
      </c>
    </row>
    <row r="61" spans="9:15">
      <c r="I61" s="486"/>
      <c r="J61" s="484">
        <f t="shared" si="12"/>
        <v>2017</v>
      </c>
      <c r="K61" s="485">
        <f>+Y32</f>
        <v>0</v>
      </c>
      <c r="L61" s="485">
        <f>+Z32</f>
        <v>0</v>
      </c>
      <c r="M61" s="485">
        <f>+AA32</f>
        <v>0</v>
      </c>
      <c r="N61" s="485">
        <f>+AB32</f>
        <v>1.9956</v>
      </c>
      <c r="O61" s="485">
        <f>+AC32</f>
        <v>0</v>
      </c>
    </row>
    <row r="62" spans="9:15">
      <c r="I62" s="486"/>
      <c r="J62" s="484">
        <f t="shared" si="12"/>
        <v>2018</v>
      </c>
      <c r="K62" s="485">
        <f>+R32</f>
        <v>0</v>
      </c>
      <c r="L62" s="485">
        <f>+S32</f>
        <v>0</v>
      </c>
      <c r="M62" s="485">
        <f>+T32</f>
        <v>0</v>
      </c>
      <c r="N62" s="485">
        <f>+U32</f>
        <v>2.2766000000000002</v>
      </c>
      <c r="O62" s="485">
        <f>+V32</f>
        <v>0</v>
      </c>
    </row>
    <row r="63" spans="9:15">
      <c r="I63" s="486"/>
      <c r="J63" s="484">
        <f t="shared" si="12"/>
        <v>2019</v>
      </c>
      <c r="K63" s="485">
        <f>+K32</f>
        <v>0</v>
      </c>
      <c r="L63" s="485">
        <f>+L32</f>
        <v>0</v>
      </c>
      <c r="M63" s="485">
        <f>+M32</f>
        <v>0</v>
      </c>
      <c r="N63" s="485">
        <f>+N32</f>
        <v>3.0142000000000002</v>
      </c>
      <c r="O63" s="485">
        <f>+O32</f>
        <v>0</v>
      </c>
    </row>
    <row r="64" spans="9:15">
      <c r="I64" s="486"/>
      <c r="J64" s="484" t="s">
        <v>497</v>
      </c>
      <c r="K64" s="485">
        <f>+SUM(K59:K63)</f>
        <v>0</v>
      </c>
      <c r="L64" s="485">
        <f>+SUM(L59:L63)</f>
        <v>0</v>
      </c>
      <c r="M64" s="485">
        <f>+SUM(M59:M63)</f>
        <v>0</v>
      </c>
      <c r="N64" s="485">
        <f>+SUM(N59:N63)</f>
        <v>10.888800000000002</v>
      </c>
      <c r="O64" s="485">
        <f>+SUM(O59:O63)</f>
        <v>0</v>
      </c>
    </row>
    <row r="65" spans="9:15">
      <c r="I65" s="486"/>
      <c r="J65" s="484" t="s">
        <v>242</v>
      </c>
      <c r="K65" s="487" t="s">
        <v>7</v>
      </c>
      <c r="L65" s="487" t="s">
        <v>241</v>
      </c>
      <c r="M65" s="487" t="s">
        <v>499</v>
      </c>
      <c r="N65" s="487" t="s">
        <v>498</v>
      </c>
      <c r="O65" s="487" t="s">
        <v>242</v>
      </c>
    </row>
    <row r="66" spans="9:15">
      <c r="I66" s="486"/>
      <c r="J66" s="484">
        <f>J59</f>
        <v>2015</v>
      </c>
      <c r="K66" s="485">
        <f>+AM33</f>
        <v>0</v>
      </c>
      <c r="L66" s="485">
        <f>+AN33</f>
        <v>0</v>
      </c>
      <c r="M66" s="485">
        <f>+AO33</f>
        <v>0</v>
      </c>
      <c r="N66" s="485">
        <f>+AP33</f>
        <v>0</v>
      </c>
      <c r="O66" s="485">
        <f>+AQ33</f>
        <v>1.756</v>
      </c>
    </row>
    <row r="67" spans="9:15">
      <c r="I67" s="486"/>
      <c r="J67" s="484">
        <f t="shared" ref="J67:J70" si="13">J60</f>
        <v>2016</v>
      </c>
      <c r="K67" s="485">
        <f>+AF33</f>
        <v>0</v>
      </c>
      <c r="L67" s="485">
        <f>+AG33</f>
        <v>0</v>
      </c>
      <c r="M67" s="485">
        <f>+AH33</f>
        <v>0</v>
      </c>
      <c r="N67" s="485">
        <f>+AI33</f>
        <v>0</v>
      </c>
      <c r="O67" s="485">
        <f>+AJ33</f>
        <v>1.8464</v>
      </c>
    </row>
    <row r="68" spans="9:15">
      <c r="I68" s="486"/>
      <c r="J68" s="484">
        <f t="shared" si="13"/>
        <v>2017</v>
      </c>
      <c r="K68" s="485">
        <f>+Y33</f>
        <v>0</v>
      </c>
      <c r="L68" s="485">
        <f>+Z33</f>
        <v>0</v>
      </c>
      <c r="M68" s="485">
        <f>+AA33</f>
        <v>0</v>
      </c>
      <c r="N68" s="485">
        <f>+AB33</f>
        <v>0</v>
      </c>
      <c r="O68" s="485">
        <f>+AC33</f>
        <v>1.9956</v>
      </c>
    </row>
    <row r="69" spans="9:15">
      <c r="I69" s="486"/>
      <c r="J69" s="484">
        <f t="shared" si="13"/>
        <v>2018</v>
      </c>
      <c r="K69" s="485">
        <f>+R33</f>
        <v>0</v>
      </c>
      <c r="L69" s="485">
        <f>+S33</f>
        <v>0</v>
      </c>
      <c r="M69" s="485">
        <f>+T33</f>
        <v>0</v>
      </c>
      <c r="N69" s="485">
        <f>+U33</f>
        <v>0</v>
      </c>
      <c r="O69" s="485">
        <f>+V33</f>
        <v>2.2766000000000002</v>
      </c>
    </row>
    <row r="70" spans="9:15">
      <c r="I70" s="486"/>
      <c r="J70" s="484">
        <f t="shared" si="13"/>
        <v>2019</v>
      </c>
      <c r="K70" s="485">
        <f>+K33</f>
        <v>0</v>
      </c>
      <c r="L70" s="485">
        <f>+L33</f>
        <v>0</v>
      </c>
      <c r="M70" s="485">
        <f>+M33</f>
        <v>0</v>
      </c>
      <c r="N70" s="485">
        <f>+N33</f>
        <v>0</v>
      </c>
      <c r="O70" s="485">
        <f>+O33</f>
        <v>3.0142000000000002</v>
      </c>
    </row>
    <row r="71" spans="9:15">
      <c r="I71" s="486"/>
      <c r="J71" s="484" t="s">
        <v>497</v>
      </c>
      <c r="K71" s="485">
        <f>+SUM(K66:K70)</f>
        <v>0</v>
      </c>
      <c r="L71" s="485">
        <f>+SUM(L66:L70)</f>
        <v>0</v>
      </c>
      <c r="M71" s="485">
        <f>+SUM(M66:M70)</f>
        <v>0</v>
      </c>
      <c r="N71" s="485">
        <f>+SUM(N66:N70)</f>
        <v>0</v>
      </c>
      <c r="O71" s="485">
        <f>+SUM(O66:O70)</f>
        <v>10.888800000000002</v>
      </c>
    </row>
  </sheetData>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528D31D-1B1A-4F72-A1B6-77B0C1AE2012}">
  <sheetPr codeName="Sheet12"/>
  <dimension ref="A1:AQ71"/>
  <sheetViews>
    <sheetView workbookViewId="0">
      <selection activeCell="M34" sqref="M34"/>
    </sheetView>
  </sheetViews>
  <sheetFormatPr defaultColWidth="9.296875" defaultRowHeight="14.6"/>
  <cols>
    <col min="1" max="1" width="16.5" style="484" customWidth="1"/>
    <col min="2" max="8" width="9.296875" style="484"/>
    <col min="9" max="9" width="4.19921875" style="484" customWidth="1"/>
    <col min="10" max="16384" width="9.296875" style="484"/>
  </cols>
  <sheetData>
    <row r="1" spans="1:41">
      <c r="A1" s="523" t="s">
        <v>509</v>
      </c>
      <c r="I1" s="486"/>
    </row>
    <row r="2" spans="1:41">
      <c r="A2" s="523"/>
      <c r="I2" s="486"/>
    </row>
    <row r="3" spans="1:41">
      <c r="A3" s="512" t="s">
        <v>508</v>
      </c>
      <c r="B3" s="516" t="s">
        <v>507</v>
      </c>
      <c r="C3" s="512"/>
      <c r="D3" s="512"/>
      <c r="E3" s="512"/>
      <c r="F3" s="512"/>
      <c r="G3" s="512"/>
      <c r="H3" s="512"/>
      <c r="I3" s="522"/>
      <c r="P3" s="512"/>
    </row>
    <row r="4" spans="1:41">
      <c r="A4" s="520" t="s">
        <v>506</v>
      </c>
      <c r="B4" s="520" t="s">
        <v>229</v>
      </c>
      <c r="C4" s="520">
        <v>1</v>
      </c>
      <c r="D4" s="520">
        <v>2</v>
      </c>
      <c r="E4" s="520">
        <v>3</v>
      </c>
      <c r="F4" s="520">
        <v>4</v>
      </c>
      <c r="G4" s="520">
        <v>5</v>
      </c>
      <c r="H4" s="520" t="s">
        <v>376</v>
      </c>
      <c r="I4" s="521"/>
      <c r="P4" s="520"/>
    </row>
    <row r="5" spans="1:41">
      <c r="A5" s="514"/>
      <c r="B5" s="514"/>
      <c r="C5" s="514"/>
      <c r="D5" s="514"/>
      <c r="E5" s="514"/>
      <c r="F5" s="514"/>
      <c r="G5" s="514"/>
      <c r="H5" s="514"/>
      <c r="I5" s="519"/>
      <c r="P5" s="514"/>
    </row>
    <row r="6" spans="1:41">
      <c r="A6" s="518" t="s">
        <v>505</v>
      </c>
      <c r="B6" s="512">
        <v>1</v>
      </c>
      <c r="C6" s="511">
        <v>1.3401000000000001</v>
      </c>
      <c r="D6" s="511">
        <v>0</v>
      </c>
      <c r="E6" s="511">
        <v>0</v>
      </c>
      <c r="F6" s="511">
        <v>0</v>
      </c>
      <c r="G6" s="511">
        <v>0</v>
      </c>
      <c r="H6" s="511">
        <v>0</v>
      </c>
      <c r="I6" s="510"/>
      <c r="P6" s="517"/>
    </row>
    <row r="7" spans="1:41">
      <c r="A7" s="518" t="s">
        <v>505</v>
      </c>
      <c r="B7" s="512">
        <v>2</v>
      </c>
      <c r="C7" s="511">
        <v>0</v>
      </c>
      <c r="D7" s="511">
        <v>1.3401000000000001</v>
      </c>
      <c r="E7" s="511">
        <v>0</v>
      </c>
      <c r="F7" s="511">
        <v>0</v>
      </c>
      <c r="G7" s="511">
        <v>0</v>
      </c>
      <c r="H7" s="511">
        <v>0</v>
      </c>
      <c r="I7" s="510"/>
      <c r="P7" s="517"/>
    </row>
    <row r="8" spans="1:41">
      <c r="A8" s="518" t="s">
        <v>505</v>
      </c>
      <c r="B8" s="512">
        <v>3</v>
      </c>
      <c r="C8" s="511">
        <v>0</v>
      </c>
      <c r="D8" s="511">
        <v>0</v>
      </c>
      <c r="E8" s="511">
        <v>1.3401000000000001</v>
      </c>
      <c r="F8" s="511">
        <v>0</v>
      </c>
      <c r="G8" s="511">
        <v>0</v>
      </c>
      <c r="H8" s="511">
        <v>0</v>
      </c>
      <c r="I8" s="510"/>
      <c r="P8" s="517"/>
    </row>
    <row r="9" spans="1:41">
      <c r="A9" s="518" t="s">
        <v>505</v>
      </c>
      <c r="B9" s="512">
        <v>4</v>
      </c>
      <c r="C9" s="511">
        <v>0</v>
      </c>
      <c r="D9" s="511">
        <v>0</v>
      </c>
      <c r="E9" s="511">
        <v>0</v>
      </c>
      <c r="F9" s="511">
        <v>1.3401000000000001</v>
      </c>
      <c r="G9" s="511">
        <v>0</v>
      </c>
      <c r="H9" s="511">
        <v>0</v>
      </c>
      <c r="I9" s="510"/>
      <c r="P9" s="517"/>
    </row>
    <row r="10" spans="1:41">
      <c r="A10" s="518" t="s">
        <v>505</v>
      </c>
      <c r="B10" s="512">
        <v>5</v>
      </c>
      <c r="C10" s="511">
        <v>0</v>
      </c>
      <c r="D10" s="511">
        <v>0</v>
      </c>
      <c r="E10" s="511">
        <v>0</v>
      </c>
      <c r="F10" s="511">
        <v>0</v>
      </c>
      <c r="G10" s="511">
        <v>1.3401000000000001</v>
      </c>
      <c r="H10" s="511">
        <v>0</v>
      </c>
      <c r="I10" s="510"/>
      <c r="P10" s="517"/>
    </row>
    <row r="11" spans="1:41">
      <c r="A11" s="516" t="s">
        <v>504</v>
      </c>
      <c r="B11" s="512">
        <v>1</v>
      </c>
      <c r="C11" s="511">
        <v>1.1378999999999999</v>
      </c>
      <c r="D11" s="511">
        <v>0</v>
      </c>
      <c r="E11" s="511">
        <v>0</v>
      </c>
      <c r="F11" s="511">
        <v>0</v>
      </c>
      <c r="G11" s="511">
        <v>0</v>
      </c>
      <c r="H11" s="511">
        <v>0</v>
      </c>
      <c r="I11" s="510"/>
      <c r="K11" s="515">
        <f t="array" ref="K11:O15">MMULT(C6:G10,C11:G15)</f>
        <v>1.5248997899999999</v>
      </c>
      <c r="L11" s="515">
        <v>0</v>
      </c>
      <c r="M11" s="515">
        <v>0</v>
      </c>
      <c r="N11" s="515">
        <v>0</v>
      </c>
      <c r="O11" s="515">
        <v>0</v>
      </c>
      <c r="P11" s="509"/>
      <c r="Q11" s="488"/>
      <c r="R11" s="488"/>
      <c r="S11" s="488"/>
      <c r="T11" s="488"/>
      <c r="U11" s="488"/>
      <c r="V11" s="488"/>
      <c r="W11" s="488"/>
      <c r="X11" s="488"/>
      <c r="Y11" s="488"/>
      <c r="Z11" s="488"/>
      <c r="AA11" s="488"/>
      <c r="AB11" s="488"/>
      <c r="AC11" s="488"/>
      <c r="AD11" s="488"/>
      <c r="AE11" s="488"/>
      <c r="AF11" s="488"/>
      <c r="AG11" s="488"/>
      <c r="AH11" s="488"/>
      <c r="AI11" s="488"/>
      <c r="AJ11" s="488"/>
      <c r="AK11" s="488"/>
      <c r="AL11" s="488"/>
      <c r="AM11" s="488"/>
      <c r="AN11" s="488"/>
      <c r="AO11" s="488"/>
    </row>
    <row r="12" spans="1:41">
      <c r="A12" s="516" t="s">
        <v>504</v>
      </c>
      <c r="B12" s="512">
        <v>2</v>
      </c>
      <c r="C12" s="511">
        <v>0</v>
      </c>
      <c r="D12" s="511">
        <v>1.1378999999999999</v>
      </c>
      <c r="E12" s="511">
        <v>0</v>
      </c>
      <c r="F12" s="511">
        <v>0</v>
      </c>
      <c r="G12" s="511">
        <v>0</v>
      </c>
      <c r="H12" s="511">
        <v>0</v>
      </c>
      <c r="I12" s="510"/>
      <c r="K12" s="515">
        <v>0</v>
      </c>
      <c r="L12" s="515">
        <v>1.5248997899999999</v>
      </c>
      <c r="M12" s="515">
        <v>0</v>
      </c>
      <c r="N12" s="515">
        <v>0</v>
      </c>
      <c r="O12" s="515">
        <v>0</v>
      </c>
      <c r="P12" s="509"/>
      <c r="Q12" s="488"/>
      <c r="R12" s="488"/>
      <c r="S12" s="488"/>
      <c r="T12" s="488"/>
      <c r="U12" s="488"/>
      <c r="V12" s="488"/>
      <c r="W12" s="488"/>
      <c r="X12" s="488"/>
      <c r="Y12" s="488"/>
      <c r="Z12" s="488"/>
      <c r="AA12" s="488"/>
      <c r="AB12" s="488"/>
      <c r="AC12" s="488"/>
      <c r="AD12" s="488"/>
      <c r="AE12" s="488"/>
      <c r="AF12" s="488"/>
      <c r="AG12" s="488"/>
      <c r="AH12" s="488"/>
      <c r="AI12" s="488"/>
      <c r="AJ12" s="488"/>
      <c r="AK12" s="488"/>
      <c r="AL12" s="488"/>
      <c r="AM12" s="488"/>
      <c r="AN12" s="488"/>
      <c r="AO12" s="488"/>
    </row>
    <row r="13" spans="1:41">
      <c r="A13" s="516" t="s">
        <v>504</v>
      </c>
      <c r="B13" s="512">
        <v>3</v>
      </c>
      <c r="C13" s="511">
        <v>0</v>
      </c>
      <c r="D13" s="511">
        <v>0</v>
      </c>
      <c r="E13" s="511">
        <v>1.1378999999999999</v>
      </c>
      <c r="F13" s="511">
        <v>0</v>
      </c>
      <c r="G13" s="511">
        <v>0</v>
      </c>
      <c r="H13" s="511">
        <v>0</v>
      </c>
      <c r="I13" s="510"/>
      <c r="K13" s="515">
        <v>0</v>
      </c>
      <c r="L13" s="515">
        <v>0</v>
      </c>
      <c r="M13" s="515">
        <v>1.5248997899999999</v>
      </c>
      <c r="N13" s="515">
        <v>0</v>
      </c>
      <c r="O13" s="515">
        <v>0</v>
      </c>
      <c r="P13" s="509"/>
      <c r="Q13" s="488"/>
      <c r="R13" s="488"/>
      <c r="S13" s="488"/>
      <c r="T13" s="488"/>
      <c r="U13" s="488"/>
      <c r="V13" s="488"/>
      <c r="W13" s="488"/>
      <c r="X13" s="488"/>
      <c r="Y13" s="488"/>
      <c r="Z13" s="488"/>
      <c r="AA13" s="488"/>
      <c r="AB13" s="488"/>
      <c r="AC13" s="488"/>
      <c r="AD13" s="488"/>
      <c r="AE13" s="488"/>
      <c r="AF13" s="488"/>
      <c r="AG13" s="488"/>
      <c r="AH13" s="488"/>
      <c r="AI13" s="488"/>
      <c r="AJ13" s="488"/>
      <c r="AK13" s="488"/>
      <c r="AL13" s="488"/>
      <c r="AM13" s="488"/>
      <c r="AN13" s="488"/>
      <c r="AO13" s="488"/>
    </row>
    <row r="14" spans="1:41">
      <c r="A14" s="516" t="s">
        <v>504</v>
      </c>
      <c r="B14" s="512">
        <v>4</v>
      </c>
      <c r="C14" s="511">
        <v>0</v>
      </c>
      <c r="D14" s="511">
        <v>0</v>
      </c>
      <c r="E14" s="511">
        <v>0</v>
      </c>
      <c r="F14" s="511">
        <v>1.1378999999999999</v>
      </c>
      <c r="G14" s="511">
        <v>0</v>
      </c>
      <c r="H14" s="511">
        <v>0</v>
      </c>
      <c r="I14" s="510"/>
      <c r="K14" s="515">
        <v>0</v>
      </c>
      <c r="L14" s="515">
        <v>0</v>
      </c>
      <c r="M14" s="515">
        <v>0</v>
      </c>
      <c r="N14" s="515">
        <v>1.5248997899999999</v>
      </c>
      <c r="O14" s="515">
        <v>0</v>
      </c>
      <c r="P14" s="509"/>
      <c r="Q14" s="488"/>
      <c r="R14" s="488"/>
      <c r="S14" s="488"/>
      <c r="T14" s="488"/>
      <c r="U14" s="488"/>
      <c r="V14" s="488"/>
      <c r="W14" s="488"/>
      <c r="X14" s="488"/>
      <c r="Y14" s="488"/>
      <c r="Z14" s="488"/>
      <c r="AA14" s="488"/>
      <c r="AB14" s="488"/>
      <c r="AC14" s="488"/>
      <c r="AD14" s="488"/>
      <c r="AE14" s="488"/>
      <c r="AF14" s="488"/>
      <c r="AG14" s="488"/>
      <c r="AH14" s="488"/>
      <c r="AI14" s="488"/>
      <c r="AJ14" s="488"/>
      <c r="AK14" s="488"/>
      <c r="AL14" s="488"/>
      <c r="AM14" s="488"/>
      <c r="AN14" s="488"/>
      <c r="AO14" s="488"/>
    </row>
    <row r="15" spans="1:41">
      <c r="A15" s="516" t="s">
        <v>504</v>
      </c>
      <c r="B15" s="512">
        <v>5</v>
      </c>
      <c r="C15" s="511">
        <v>0</v>
      </c>
      <c r="D15" s="511">
        <v>0</v>
      </c>
      <c r="E15" s="511">
        <v>0</v>
      </c>
      <c r="F15" s="511">
        <v>0</v>
      </c>
      <c r="G15" s="511">
        <v>1.1378999999999999</v>
      </c>
      <c r="H15" s="511">
        <v>0</v>
      </c>
      <c r="I15" s="510"/>
      <c r="K15" s="515">
        <v>0</v>
      </c>
      <c r="L15" s="515">
        <v>0</v>
      </c>
      <c r="M15" s="515">
        <v>0</v>
      </c>
      <c r="N15" s="515">
        <v>0</v>
      </c>
      <c r="O15" s="515">
        <v>1.5248997899999999</v>
      </c>
      <c r="P15" s="509"/>
      <c r="Q15" s="488"/>
      <c r="R15" s="488"/>
      <c r="S15" s="488"/>
      <c r="T15" s="488"/>
      <c r="U15" s="488"/>
      <c r="V15" s="488"/>
      <c r="W15" s="488"/>
      <c r="X15" s="488"/>
      <c r="Y15" s="488"/>
      <c r="Z15" s="488"/>
      <c r="AA15" s="488"/>
      <c r="AB15" s="488"/>
      <c r="AC15" s="488"/>
      <c r="AD15" s="488"/>
      <c r="AE15" s="488"/>
      <c r="AF15" s="488"/>
      <c r="AG15" s="488"/>
      <c r="AH15" s="488"/>
      <c r="AI15" s="488"/>
      <c r="AJ15" s="488"/>
      <c r="AK15" s="488"/>
      <c r="AL15" s="488"/>
      <c r="AM15" s="488"/>
      <c r="AN15" s="488"/>
      <c r="AO15" s="488"/>
    </row>
    <row r="16" spans="1:41">
      <c r="A16" s="512" t="s">
        <v>503</v>
      </c>
      <c r="B16" s="512">
        <v>1</v>
      </c>
      <c r="C16" s="511">
        <v>1.0547</v>
      </c>
      <c r="D16" s="511">
        <v>0</v>
      </c>
      <c r="E16" s="511">
        <v>0</v>
      </c>
      <c r="F16" s="511">
        <v>0</v>
      </c>
      <c r="G16" s="511">
        <v>0</v>
      </c>
      <c r="H16" s="511">
        <v>0</v>
      </c>
      <c r="I16" s="510"/>
      <c r="K16" s="515">
        <f t="array" ref="K16:O20">MMULT(K11:O15,C16:G20)</f>
        <v>1.6083118085129997</v>
      </c>
      <c r="L16" s="515">
        <v>0</v>
      </c>
      <c r="M16" s="515">
        <v>0</v>
      </c>
      <c r="N16" s="515">
        <v>0</v>
      </c>
      <c r="O16" s="515">
        <v>0</v>
      </c>
      <c r="P16" s="509"/>
      <c r="Q16" s="488"/>
      <c r="R16" s="515">
        <f t="array" ref="R16:V20">MMULT(C11:G15,C16:G20)</f>
        <v>1.2001431299999998</v>
      </c>
      <c r="S16" s="515">
        <v>0</v>
      </c>
      <c r="T16" s="515">
        <v>0</v>
      </c>
      <c r="U16" s="515">
        <v>0</v>
      </c>
      <c r="V16" s="515">
        <v>0</v>
      </c>
      <c r="W16" s="488"/>
      <c r="X16" s="488"/>
      <c r="Y16" s="488"/>
      <c r="Z16" s="488"/>
      <c r="AA16" s="488"/>
      <c r="AB16" s="488"/>
      <c r="AC16" s="488"/>
      <c r="AD16" s="488"/>
      <c r="AE16" s="488"/>
      <c r="AF16" s="488"/>
      <c r="AG16" s="488"/>
      <c r="AH16" s="488"/>
      <c r="AI16" s="488"/>
      <c r="AJ16" s="488"/>
      <c r="AK16" s="488"/>
      <c r="AL16" s="488"/>
      <c r="AM16" s="488"/>
      <c r="AN16" s="488"/>
      <c r="AO16" s="488"/>
    </row>
    <row r="17" spans="1:43">
      <c r="A17" s="512" t="s">
        <v>503</v>
      </c>
      <c r="B17" s="512">
        <v>2</v>
      </c>
      <c r="C17" s="511">
        <v>0</v>
      </c>
      <c r="D17" s="511">
        <v>1.0547</v>
      </c>
      <c r="E17" s="511">
        <v>0</v>
      </c>
      <c r="F17" s="511">
        <v>0</v>
      </c>
      <c r="G17" s="511">
        <v>0</v>
      </c>
      <c r="H17" s="511">
        <v>0</v>
      </c>
      <c r="I17" s="510"/>
      <c r="K17" s="515">
        <v>0</v>
      </c>
      <c r="L17" s="515">
        <v>1.6083118085129997</v>
      </c>
      <c r="M17" s="515">
        <v>0</v>
      </c>
      <c r="N17" s="515">
        <v>0</v>
      </c>
      <c r="O17" s="515">
        <v>0</v>
      </c>
      <c r="P17" s="509"/>
      <c r="Q17" s="488"/>
      <c r="R17" s="515">
        <v>0</v>
      </c>
      <c r="S17" s="515">
        <v>1.2001431299999998</v>
      </c>
      <c r="T17" s="515">
        <v>0</v>
      </c>
      <c r="U17" s="515">
        <v>0</v>
      </c>
      <c r="V17" s="515">
        <v>0</v>
      </c>
      <c r="W17" s="488"/>
      <c r="X17" s="488"/>
      <c r="Y17" s="488"/>
      <c r="Z17" s="488"/>
      <c r="AA17" s="488"/>
      <c r="AB17" s="488"/>
      <c r="AC17" s="488"/>
      <c r="AD17" s="488"/>
      <c r="AE17" s="488"/>
      <c r="AF17" s="488"/>
      <c r="AG17" s="488"/>
      <c r="AH17" s="488"/>
      <c r="AI17" s="488"/>
      <c r="AJ17" s="488"/>
      <c r="AK17" s="488"/>
      <c r="AL17" s="488"/>
      <c r="AM17" s="488"/>
      <c r="AN17" s="488"/>
      <c r="AO17" s="488"/>
    </row>
    <row r="18" spans="1:43">
      <c r="A18" s="512" t="s">
        <v>503</v>
      </c>
      <c r="B18" s="512">
        <v>3</v>
      </c>
      <c r="C18" s="511">
        <v>0</v>
      </c>
      <c r="D18" s="511">
        <v>0</v>
      </c>
      <c r="E18" s="511">
        <v>1.0547</v>
      </c>
      <c r="F18" s="511">
        <v>0</v>
      </c>
      <c r="G18" s="511">
        <v>0</v>
      </c>
      <c r="H18" s="511">
        <v>0</v>
      </c>
      <c r="I18" s="510"/>
      <c r="K18" s="515">
        <v>0</v>
      </c>
      <c r="L18" s="515">
        <v>0</v>
      </c>
      <c r="M18" s="515">
        <v>1.6083118085129997</v>
      </c>
      <c r="N18" s="515">
        <v>0</v>
      </c>
      <c r="O18" s="515">
        <v>0</v>
      </c>
      <c r="P18" s="509"/>
      <c r="Q18" s="488"/>
      <c r="R18" s="515">
        <v>0</v>
      </c>
      <c r="S18" s="515">
        <v>0</v>
      </c>
      <c r="T18" s="515">
        <v>1.2001431299999998</v>
      </c>
      <c r="U18" s="515">
        <v>0</v>
      </c>
      <c r="V18" s="515">
        <v>0</v>
      </c>
      <c r="W18" s="488"/>
      <c r="X18" s="488"/>
      <c r="Y18" s="488"/>
      <c r="Z18" s="488"/>
      <c r="AA18" s="488"/>
      <c r="AB18" s="488"/>
      <c r="AC18" s="488"/>
      <c r="AD18" s="488"/>
      <c r="AE18" s="488"/>
      <c r="AF18" s="488"/>
      <c r="AG18" s="488"/>
      <c r="AH18" s="488"/>
      <c r="AI18" s="488"/>
      <c r="AJ18" s="488"/>
      <c r="AK18" s="488"/>
      <c r="AL18" s="488"/>
      <c r="AM18" s="488"/>
      <c r="AN18" s="488"/>
      <c r="AO18" s="488"/>
    </row>
    <row r="19" spans="1:43">
      <c r="A19" s="512" t="s">
        <v>503</v>
      </c>
      <c r="B19" s="512">
        <v>4</v>
      </c>
      <c r="C19" s="511">
        <v>0</v>
      </c>
      <c r="D19" s="511">
        <v>0</v>
      </c>
      <c r="E19" s="511">
        <v>0</v>
      </c>
      <c r="F19" s="511">
        <v>1.0547</v>
      </c>
      <c r="G19" s="511">
        <v>0</v>
      </c>
      <c r="H19" s="511">
        <v>0</v>
      </c>
      <c r="I19" s="510"/>
      <c r="K19" s="515">
        <v>0</v>
      </c>
      <c r="L19" s="515">
        <v>0</v>
      </c>
      <c r="M19" s="515">
        <v>0</v>
      </c>
      <c r="N19" s="515">
        <v>1.6083118085129997</v>
      </c>
      <c r="O19" s="515">
        <v>0</v>
      </c>
      <c r="P19" s="509"/>
      <c r="Q19" s="488"/>
      <c r="R19" s="515">
        <v>0</v>
      </c>
      <c r="S19" s="515">
        <v>0</v>
      </c>
      <c r="T19" s="515">
        <v>0</v>
      </c>
      <c r="U19" s="515">
        <v>1.2001431299999998</v>
      </c>
      <c r="V19" s="515">
        <v>0</v>
      </c>
      <c r="W19" s="488"/>
      <c r="X19" s="488"/>
      <c r="Y19" s="488"/>
      <c r="Z19" s="488"/>
      <c r="AA19" s="488"/>
      <c r="AB19" s="488"/>
      <c r="AC19" s="488"/>
      <c r="AD19" s="488"/>
      <c r="AE19" s="488"/>
      <c r="AF19" s="488"/>
      <c r="AG19" s="488"/>
      <c r="AH19" s="488"/>
      <c r="AI19" s="488"/>
      <c r="AJ19" s="488"/>
      <c r="AK19" s="488"/>
      <c r="AL19" s="488"/>
      <c r="AM19" s="488"/>
      <c r="AN19" s="488"/>
      <c r="AO19" s="488"/>
    </row>
    <row r="20" spans="1:43">
      <c r="A20" s="512" t="s">
        <v>503</v>
      </c>
      <c r="B20" s="512">
        <v>5</v>
      </c>
      <c r="C20" s="511">
        <v>0</v>
      </c>
      <c r="D20" s="511">
        <v>0</v>
      </c>
      <c r="E20" s="511">
        <v>0</v>
      </c>
      <c r="F20" s="511">
        <v>0</v>
      </c>
      <c r="G20" s="511">
        <v>1.0547</v>
      </c>
      <c r="H20" s="511">
        <v>0</v>
      </c>
      <c r="I20" s="510"/>
      <c r="K20" s="515">
        <v>0</v>
      </c>
      <c r="L20" s="515">
        <v>0</v>
      </c>
      <c r="M20" s="515">
        <v>0</v>
      </c>
      <c r="N20" s="515">
        <v>0</v>
      </c>
      <c r="O20" s="515">
        <v>1.6083118085129997</v>
      </c>
      <c r="P20" s="509"/>
      <c r="Q20" s="488"/>
      <c r="R20" s="515">
        <v>0</v>
      </c>
      <c r="S20" s="515">
        <v>0</v>
      </c>
      <c r="T20" s="515">
        <v>0</v>
      </c>
      <c r="U20" s="515">
        <v>0</v>
      </c>
      <c r="V20" s="515">
        <v>1.2001431299999998</v>
      </c>
      <c r="W20" s="488"/>
      <c r="X20" s="488"/>
      <c r="Y20" s="488"/>
      <c r="Z20" s="488"/>
      <c r="AA20" s="488"/>
      <c r="AB20" s="488"/>
      <c r="AC20" s="488"/>
      <c r="AD20" s="488"/>
      <c r="AE20" s="488"/>
      <c r="AF20" s="488"/>
      <c r="AG20" s="488"/>
      <c r="AH20" s="488"/>
      <c r="AI20" s="488"/>
      <c r="AJ20" s="488"/>
      <c r="AK20" s="488"/>
      <c r="AL20" s="488"/>
      <c r="AM20" s="488"/>
      <c r="AN20" s="488"/>
      <c r="AO20" s="488"/>
    </row>
    <row r="21" spans="1:43">
      <c r="A21" s="512" t="s">
        <v>502</v>
      </c>
      <c r="B21" s="512">
        <v>1</v>
      </c>
      <c r="C21" s="511">
        <v>1.0227999999999999</v>
      </c>
      <c r="D21" s="511">
        <v>0</v>
      </c>
      <c r="E21" s="511">
        <v>0</v>
      </c>
      <c r="F21" s="511">
        <v>0</v>
      </c>
      <c r="G21" s="511">
        <v>0</v>
      </c>
      <c r="H21" s="511">
        <v>0</v>
      </c>
      <c r="I21" s="510"/>
      <c r="K21" s="508">
        <f t="array" ref="K21:O25">MMULT(K16:O20,C21:G25)</f>
        <v>1.644981317747096</v>
      </c>
      <c r="L21" s="508">
        <v>0</v>
      </c>
      <c r="M21" s="508">
        <v>0</v>
      </c>
      <c r="N21" s="508">
        <v>0</v>
      </c>
      <c r="O21" s="508">
        <v>0</v>
      </c>
      <c r="P21" s="509"/>
      <c r="Q21" s="488"/>
      <c r="R21" s="508">
        <f t="array" ref="R21:V25">MMULT(R16:V20,C21:G25)</f>
        <v>1.2275063933639998</v>
      </c>
      <c r="S21" s="508">
        <v>0</v>
      </c>
      <c r="T21" s="508">
        <v>0</v>
      </c>
      <c r="U21" s="508">
        <v>0</v>
      </c>
      <c r="V21" s="508">
        <v>0</v>
      </c>
      <c r="W21" s="509"/>
      <c r="X21" s="488"/>
      <c r="Y21" s="508">
        <f t="array" ref="Y21:AC25">MMULT(C16:G20,C21:G25)</f>
        <v>1.0787471599999998</v>
      </c>
      <c r="Z21" s="508">
        <v>0</v>
      </c>
      <c r="AA21" s="508">
        <v>0</v>
      </c>
      <c r="AB21" s="508">
        <v>0</v>
      </c>
      <c r="AC21" s="508">
        <v>0</v>
      </c>
      <c r="AD21" s="488"/>
      <c r="AE21" s="488"/>
      <c r="AF21" s="513"/>
      <c r="AG21" s="488"/>
      <c r="AH21" s="488"/>
      <c r="AI21" s="488"/>
      <c r="AJ21" s="488"/>
      <c r="AK21" s="488"/>
      <c r="AL21" s="488"/>
      <c r="AM21" s="488"/>
      <c r="AN21" s="488"/>
      <c r="AO21" s="488"/>
    </row>
    <row r="22" spans="1:43">
      <c r="A22" s="512" t="s">
        <v>502</v>
      </c>
      <c r="B22" s="512">
        <v>2</v>
      </c>
      <c r="C22" s="511">
        <v>0</v>
      </c>
      <c r="D22" s="511">
        <v>1.0227999999999999</v>
      </c>
      <c r="E22" s="511">
        <v>0</v>
      </c>
      <c r="F22" s="511">
        <v>0</v>
      </c>
      <c r="G22" s="511">
        <v>0</v>
      </c>
      <c r="H22" s="511">
        <v>0</v>
      </c>
      <c r="I22" s="510"/>
      <c r="K22" s="508">
        <v>0</v>
      </c>
      <c r="L22" s="508">
        <v>1.644981317747096</v>
      </c>
      <c r="M22" s="508">
        <v>0</v>
      </c>
      <c r="N22" s="508">
        <v>0</v>
      </c>
      <c r="O22" s="508">
        <v>0</v>
      </c>
      <c r="P22" s="509"/>
      <c r="Q22" s="488"/>
      <c r="R22" s="508">
        <v>0</v>
      </c>
      <c r="S22" s="508">
        <v>1.2275063933639998</v>
      </c>
      <c r="T22" s="508">
        <v>0</v>
      </c>
      <c r="U22" s="508">
        <v>0</v>
      </c>
      <c r="V22" s="508">
        <v>0</v>
      </c>
      <c r="W22" s="509"/>
      <c r="X22" s="488"/>
      <c r="Y22" s="508">
        <v>0</v>
      </c>
      <c r="Z22" s="508">
        <v>1.0787471599999998</v>
      </c>
      <c r="AA22" s="508">
        <v>0</v>
      </c>
      <c r="AB22" s="508">
        <v>0</v>
      </c>
      <c r="AC22" s="508">
        <v>0</v>
      </c>
      <c r="AD22" s="488"/>
      <c r="AE22" s="488"/>
      <c r="AF22" s="513"/>
      <c r="AG22" s="488"/>
      <c r="AH22" s="488"/>
      <c r="AI22" s="488"/>
      <c r="AJ22" s="488"/>
      <c r="AK22" s="488"/>
      <c r="AL22" s="488"/>
      <c r="AM22" s="488"/>
      <c r="AN22" s="488"/>
      <c r="AO22" s="488"/>
    </row>
    <row r="23" spans="1:43">
      <c r="A23" s="512" t="s">
        <v>502</v>
      </c>
      <c r="B23" s="512">
        <v>3</v>
      </c>
      <c r="C23" s="511">
        <v>0</v>
      </c>
      <c r="D23" s="511">
        <v>0</v>
      </c>
      <c r="E23" s="511">
        <v>1.0227999999999999</v>
      </c>
      <c r="F23" s="511">
        <v>0</v>
      </c>
      <c r="G23" s="511">
        <v>0</v>
      </c>
      <c r="H23" s="511">
        <v>0</v>
      </c>
      <c r="I23" s="510"/>
      <c r="K23" s="508">
        <v>0</v>
      </c>
      <c r="L23" s="508">
        <v>0</v>
      </c>
      <c r="M23" s="508">
        <v>1.644981317747096</v>
      </c>
      <c r="N23" s="508">
        <v>0</v>
      </c>
      <c r="O23" s="508">
        <v>0</v>
      </c>
      <c r="P23" s="509"/>
      <c r="Q23" s="488"/>
      <c r="R23" s="508">
        <v>0</v>
      </c>
      <c r="S23" s="508">
        <v>0</v>
      </c>
      <c r="T23" s="508">
        <v>1.2275063933639998</v>
      </c>
      <c r="U23" s="508">
        <v>0</v>
      </c>
      <c r="V23" s="508">
        <v>0</v>
      </c>
      <c r="W23" s="509"/>
      <c r="X23" s="488"/>
      <c r="Y23" s="508">
        <v>0</v>
      </c>
      <c r="Z23" s="508">
        <v>0</v>
      </c>
      <c r="AA23" s="508">
        <v>1.0787471599999998</v>
      </c>
      <c r="AB23" s="508">
        <v>0</v>
      </c>
      <c r="AC23" s="508">
        <v>0</v>
      </c>
      <c r="AD23" s="488"/>
      <c r="AE23" s="488"/>
      <c r="AF23" s="513"/>
      <c r="AG23" s="488"/>
      <c r="AH23" s="488"/>
      <c r="AI23" s="488"/>
      <c r="AJ23" s="488"/>
      <c r="AK23" s="488"/>
      <c r="AL23" s="488"/>
      <c r="AM23" s="488"/>
      <c r="AN23" s="488"/>
      <c r="AO23" s="488"/>
    </row>
    <row r="24" spans="1:43">
      <c r="A24" s="512" t="s">
        <v>502</v>
      </c>
      <c r="B24" s="512">
        <v>4</v>
      </c>
      <c r="C24" s="511">
        <v>0</v>
      </c>
      <c r="D24" s="511">
        <v>0</v>
      </c>
      <c r="E24" s="511">
        <v>0</v>
      </c>
      <c r="F24" s="511">
        <v>1.0227999999999999</v>
      </c>
      <c r="G24" s="511">
        <v>0</v>
      </c>
      <c r="H24" s="511">
        <v>0</v>
      </c>
      <c r="I24" s="510"/>
      <c r="K24" s="508">
        <v>0</v>
      </c>
      <c r="L24" s="508">
        <v>0</v>
      </c>
      <c r="M24" s="508">
        <v>0</v>
      </c>
      <c r="N24" s="508">
        <v>1.644981317747096</v>
      </c>
      <c r="O24" s="508">
        <v>0</v>
      </c>
      <c r="P24" s="509"/>
      <c r="Q24" s="488"/>
      <c r="R24" s="508">
        <v>0</v>
      </c>
      <c r="S24" s="508">
        <v>0</v>
      </c>
      <c r="T24" s="508">
        <v>0</v>
      </c>
      <c r="U24" s="508">
        <v>1.2275063933639998</v>
      </c>
      <c r="V24" s="508">
        <v>0</v>
      </c>
      <c r="W24" s="509"/>
      <c r="X24" s="488"/>
      <c r="Y24" s="508">
        <v>0</v>
      </c>
      <c r="Z24" s="508">
        <v>0</v>
      </c>
      <c r="AA24" s="508">
        <v>0</v>
      </c>
      <c r="AB24" s="508">
        <v>1.0787471599999998</v>
      </c>
      <c r="AC24" s="508">
        <v>0</v>
      </c>
      <c r="AD24" s="488"/>
      <c r="AE24" s="488"/>
      <c r="AF24" s="513"/>
      <c r="AG24" s="488"/>
      <c r="AH24" s="488"/>
      <c r="AI24" s="488"/>
      <c r="AJ24" s="488"/>
      <c r="AK24" s="488"/>
      <c r="AL24" s="488"/>
      <c r="AM24" s="488"/>
      <c r="AN24" s="488"/>
      <c r="AO24" s="488"/>
    </row>
    <row r="25" spans="1:43">
      <c r="A25" s="512" t="s">
        <v>502</v>
      </c>
      <c r="B25" s="512">
        <v>5</v>
      </c>
      <c r="C25" s="511">
        <v>0</v>
      </c>
      <c r="D25" s="511">
        <v>0</v>
      </c>
      <c r="E25" s="511">
        <v>0</v>
      </c>
      <c r="F25" s="511">
        <v>0</v>
      </c>
      <c r="G25" s="511">
        <v>1.0227999999999999</v>
      </c>
      <c r="H25" s="511">
        <v>0</v>
      </c>
      <c r="I25" s="510"/>
      <c r="K25" s="508">
        <v>0</v>
      </c>
      <c r="L25" s="508">
        <v>0</v>
      </c>
      <c r="M25" s="508">
        <v>0</v>
      </c>
      <c r="N25" s="508">
        <v>0</v>
      </c>
      <c r="O25" s="508">
        <v>1.644981317747096</v>
      </c>
      <c r="P25" s="509"/>
      <c r="Q25" s="488"/>
      <c r="R25" s="508">
        <v>0</v>
      </c>
      <c r="S25" s="508">
        <v>0</v>
      </c>
      <c r="T25" s="508">
        <v>0</v>
      </c>
      <c r="U25" s="508">
        <v>0</v>
      </c>
      <c r="V25" s="508">
        <v>1.2275063933639998</v>
      </c>
      <c r="W25" s="488"/>
      <c r="X25" s="488"/>
      <c r="Y25" s="508">
        <v>0</v>
      </c>
      <c r="Z25" s="508">
        <v>0</v>
      </c>
      <c r="AA25" s="508">
        <v>0</v>
      </c>
      <c r="AB25" s="508">
        <v>0</v>
      </c>
      <c r="AC25" s="508">
        <v>1.0787471599999998</v>
      </c>
      <c r="AD25" s="488"/>
      <c r="AE25" s="488"/>
      <c r="AF25" s="488"/>
      <c r="AG25" s="488"/>
      <c r="AH25" s="488"/>
      <c r="AI25" s="488"/>
      <c r="AJ25" s="488"/>
      <c r="AK25" s="488"/>
      <c r="AL25" s="488"/>
      <c r="AM25" s="488"/>
      <c r="AN25" s="488"/>
      <c r="AO25" s="488"/>
    </row>
    <row r="26" spans="1:43" ht="15" thickBot="1">
      <c r="I26" s="486"/>
    </row>
    <row r="27" spans="1:43" ht="15" thickTop="1">
      <c r="A27" s="507" t="s">
        <v>510</v>
      </c>
      <c r="B27" s="506" t="s">
        <v>116</v>
      </c>
      <c r="C27" s="505" t="s">
        <v>87</v>
      </c>
      <c r="D27" s="504"/>
      <c r="E27" s="504"/>
      <c r="F27" s="504"/>
      <c r="G27" s="503"/>
      <c r="I27" s="486"/>
      <c r="K27" s="502"/>
    </row>
    <row r="28" spans="1:43" ht="15" thickBot="1">
      <c r="A28" s="725" t="s">
        <v>581</v>
      </c>
      <c r="B28" s="501" t="s">
        <v>118</v>
      </c>
      <c r="C28" s="500" t="s">
        <v>13</v>
      </c>
      <c r="D28" s="500" t="s">
        <v>8</v>
      </c>
      <c r="E28" s="500" t="s">
        <v>14</v>
      </c>
      <c r="F28" s="500" t="s">
        <v>15</v>
      </c>
      <c r="G28" s="499" t="s">
        <v>16</v>
      </c>
      <c r="I28" s="486"/>
      <c r="J28" s="487"/>
      <c r="K28" s="487" t="s">
        <v>7</v>
      </c>
      <c r="L28" s="487" t="s">
        <v>241</v>
      </c>
      <c r="M28" s="487" t="s">
        <v>499</v>
      </c>
      <c r="N28" s="487" t="s">
        <v>498</v>
      </c>
      <c r="O28" s="487" t="s">
        <v>242</v>
      </c>
      <c r="Q28" s="487"/>
      <c r="R28" s="487" t="s">
        <v>7</v>
      </c>
      <c r="S28" s="487" t="s">
        <v>241</v>
      </c>
      <c r="T28" s="487" t="s">
        <v>499</v>
      </c>
      <c r="U28" s="487" t="s">
        <v>498</v>
      </c>
      <c r="V28" s="487" t="s">
        <v>242</v>
      </c>
      <c r="X28" s="487"/>
      <c r="Y28" s="487" t="s">
        <v>7</v>
      </c>
      <c r="Z28" s="487" t="s">
        <v>241</v>
      </c>
      <c r="AA28" s="487" t="s">
        <v>499</v>
      </c>
      <c r="AB28" s="487" t="s">
        <v>498</v>
      </c>
      <c r="AC28" s="487" t="s">
        <v>242</v>
      </c>
      <c r="AE28" s="487"/>
      <c r="AF28" s="487" t="s">
        <v>7</v>
      </c>
      <c r="AG28" s="487" t="s">
        <v>241</v>
      </c>
      <c r="AH28" s="487" t="s">
        <v>499</v>
      </c>
      <c r="AI28" s="487" t="s">
        <v>498</v>
      </c>
      <c r="AJ28" s="487" t="s">
        <v>242</v>
      </c>
      <c r="AL28" s="487"/>
      <c r="AM28" s="487" t="s">
        <v>7</v>
      </c>
      <c r="AN28" s="487" t="s">
        <v>241</v>
      </c>
      <c r="AO28" s="487" t="s">
        <v>499</v>
      </c>
      <c r="AP28" s="487" t="s">
        <v>498</v>
      </c>
      <c r="AQ28" s="487" t="s">
        <v>242</v>
      </c>
    </row>
    <row r="29" spans="1:43" ht="15" thickTop="1">
      <c r="B29" s="496">
        <v>2015</v>
      </c>
      <c r="C29" s="498">
        <v>1.671</v>
      </c>
      <c r="D29" s="498">
        <v>1.671</v>
      </c>
      <c r="E29" s="498">
        <v>1.671</v>
      </c>
      <c r="F29" s="498">
        <v>1.671</v>
      </c>
      <c r="G29" s="497">
        <v>1.671</v>
      </c>
      <c r="I29" s="486"/>
      <c r="J29" s="487">
        <f>B33</f>
        <v>2019</v>
      </c>
      <c r="K29" s="493">
        <f t="shared" ref="K29:O33" si="0">+ROUND(K21*C$33,4)</f>
        <v>2.7488000000000001</v>
      </c>
      <c r="L29" s="493">
        <f t="shared" si="0"/>
        <v>0</v>
      </c>
      <c r="M29" s="493">
        <f t="shared" si="0"/>
        <v>0</v>
      </c>
      <c r="N29" s="493">
        <f t="shared" si="0"/>
        <v>0</v>
      </c>
      <c r="O29" s="493">
        <f t="shared" si="0"/>
        <v>0</v>
      </c>
      <c r="Q29" s="487">
        <f>B32</f>
        <v>2018</v>
      </c>
      <c r="R29" s="493">
        <f t="shared" ref="R29:V33" si="1">+ROUND(R21*C$32,4)</f>
        <v>2.0512000000000001</v>
      </c>
      <c r="S29" s="493">
        <f t="shared" si="1"/>
        <v>0</v>
      </c>
      <c r="T29" s="493">
        <f t="shared" si="1"/>
        <v>0</v>
      </c>
      <c r="U29" s="493">
        <f t="shared" si="1"/>
        <v>0</v>
      </c>
      <c r="V29" s="493">
        <f t="shared" si="1"/>
        <v>0</v>
      </c>
      <c r="X29" s="487">
        <f>B31</f>
        <v>2017</v>
      </c>
      <c r="Y29" s="493">
        <f t="shared" ref="Y29:AC33" si="2">+ROUND(C$31*Y21,4)</f>
        <v>1.8026</v>
      </c>
      <c r="Z29" s="493">
        <f t="shared" si="2"/>
        <v>0</v>
      </c>
      <c r="AA29" s="493">
        <f t="shared" si="2"/>
        <v>0</v>
      </c>
      <c r="AB29" s="493">
        <f t="shared" si="2"/>
        <v>0</v>
      </c>
      <c r="AC29" s="493">
        <f t="shared" si="2"/>
        <v>0</v>
      </c>
      <c r="AE29" s="487">
        <f>B30</f>
        <v>2016</v>
      </c>
      <c r="AF29" s="493">
        <f t="shared" ref="AF29:AJ33" si="3">+ROUND(C21*C$30,4)</f>
        <v>1.7091000000000001</v>
      </c>
      <c r="AG29" s="493">
        <f t="shared" si="3"/>
        <v>0</v>
      </c>
      <c r="AH29" s="493">
        <f t="shared" si="3"/>
        <v>0</v>
      </c>
      <c r="AI29" s="493">
        <f t="shared" si="3"/>
        <v>0</v>
      </c>
      <c r="AJ29" s="493">
        <f t="shared" si="3"/>
        <v>0</v>
      </c>
      <c r="AL29" s="487">
        <f>B29</f>
        <v>2015</v>
      </c>
      <c r="AM29" s="493">
        <f>1*C$29</f>
        <v>1.671</v>
      </c>
      <c r="AN29" s="493">
        <v>0</v>
      </c>
      <c r="AO29" s="493">
        <v>0</v>
      </c>
      <c r="AP29" s="493">
        <v>0</v>
      </c>
      <c r="AQ29" s="493">
        <v>0</v>
      </c>
    </row>
    <row r="30" spans="1:43">
      <c r="B30" s="496">
        <v>2016</v>
      </c>
      <c r="C30" s="498">
        <v>1.671</v>
      </c>
      <c r="D30" s="498">
        <v>1.671</v>
      </c>
      <c r="E30" s="498">
        <v>1.671</v>
      </c>
      <c r="F30" s="498">
        <v>1.671</v>
      </c>
      <c r="G30" s="497">
        <v>1.671</v>
      </c>
      <c r="I30" s="486"/>
      <c r="J30" s="487">
        <f>J29</f>
        <v>2019</v>
      </c>
      <c r="K30" s="493">
        <f t="shared" si="0"/>
        <v>0</v>
      </c>
      <c r="L30" s="493">
        <f t="shared" si="0"/>
        <v>2.7488000000000001</v>
      </c>
      <c r="M30" s="493">
        <f t="shared" si="0"/>
        <v>0</v>
      </c>
      <c r="N30" s="493">
        <f t="shared" si="0"/>
        <v>0</v>
      </c>
      <c r="O30" s="493">
        <f t="shared" si="0"/>
        <v>0</v>
      </c>
      <c r="Q30" s="487">
        <f>Q29</f>
        <v>2018</v>
      </c>
      <c r="R30" s="493">
        <f t="shared" si="1"/>
        <v>0</v>
      </c>
      <c r="S30" s="493">
        <f t="shared" si="1"/>
        <v>2.0512000000000001</v>
      </c>
      <c r="T30" s="493">
        <f t="shared" si="1"/>
        <v>0</v>
      </c>
      <c r="U30" s="493">
        <f t="shared" si="1"/>
        <v>0</v>
      </c>
      <c r="V30" s="493">
        <f t="shared" si="1"/>
        <v>0</v>
      </c>
      <c r="X30" s="487">
        <f>X29</f>
        <v>2017</v>
      </c>
      <c r="Y30" s="493">
        <f t="shared" si="2"/>
        <v>0</v>
      </c>
      <c r="Z30" s="493">
        <f t="shared" si="2"/>
        <v>1.8026</v>
      </c>
      <c r="AA30" s="493">
        <f t="shared" si="2"/>
        <v>0</v>
      </c>
      <c r="AB30" s="493">
        <f t="shared" si="2"/>
        <v>0</v>
      </c>
      <c r="AC30" s="493">
        <f t="shared" si="2"/>
        <v>0</v>
      </c>
      <c r="AE30" s="487">
        <f>AE29</f>
        <v>2016</v>
      </c>
      <c r="AF30" s="493">
        <f t="shared" si="3"/>
        <v>0</v>
      </c>
      <c r="AG30" s="493">
        <f t="shared" si="3"/>
        <v>1.7091000000000001</v>
      </c>
      <c r="AH30" s="493">
        <f t="shared" si="3"/>
        <v>0</v>
      </c>
      <c r="AI30" s="493">
        <f t="shared" si="3"/>
        <v>0</v>
      </c>
      <c r="AJ30" s="493">
        <f t="shared" si="3"/>
        <v>0</v>
      </c>
      <c r="AL30" s="487">
        <f>AL29</f>
        <v>2015</v>
      </c>
      <c r="AM30" s="493">
        <v>0</v>
      </c>
      <c r="AN30" s="493">
        <f>1*D$29</f>
        <v>1.671</v>
      </c>
      <c r="AO30" s="493">
        <v>0</v>
      </c>
      <c r="AP30" s="493">
        <v>0</v>
      </c>
      <c r="AQ30" s="493">
        <v>0</v>
      </c>
    </row>
    <row r="31" spans="1:43">
      <c r="B31" s="496">
        <v>2017</v>
      </c>
      <c r="C31" s="498">
        <v>1.671</v>
      </c>
      <c r="D31" s="498">
        <v>1.671</v>
      </c>
      <c r="E31" s="498">
        <v>1.671</v>
      </c>
      <c r="F31" s="498">
        <v>1.671</v>
      </c>
      <c r="G31" s="497">
        <v>1.671</v>
      </c>
      <c r="I31" s="486"/>
      <c r="J31" s="487">
        <f t="shared" ref="J31:J33" si="4">J30</f>
        <v>2019</v>
      </c>
      <c r="K31" s="493">
        <f t="shared" si="0"/>
        <v>0</v>
      </c>
      <c r="L31" s="493">
        <f t="shared" si="0"/>
        <v>0</v>
      </c>
      <c r="M31" s="493">
        <f t="shared" si="0"/>
        <v>2.7488000000000001</v>
      </c>
      <c r="N31" s="493">
        <f t="shared" si="0"/>
        <v>0</v>
      </c>
      <c r="O31" s="493">
        <f t="shared" si="0"/>
        <v>0</v>
      </c>
      <c r="Q31" s="487">
        <f t="shared" ref="Q31:Q33" si="5">Q30</f>
        <v>2018</v>
      </c>
      <c r="R31" s="493">
        <f t="shared" si="1"/>
        <v>0</v>
      </c>
      <c r="S31" s="493">
        <f t="shared" si="1"/>
        <v>0</v>
      </c>
      <c r="T31" s="493">
        <f t="shared" si="1"/>
        <v>2.0512000000000001</v>
      </c>
      <c r="U31" s="493">
        <f t="shared" si="1"/>
        <v>0</v>
      </c>
      <c r="V31" s="493">
        <f t="shared" si="1"/>
        <v>0</v>
      </c>
      <c r="X31" s="487">
        <f t="shared" ref="X31:X33" si="6">X30</f>
        <v>2017</v>
      </c>
      <c r="Y31" s="493">
        <f t="shared" si="2"/>
        <v>0</v>
      </c>
      <c r="Z31" s="493">
        <f t="shared" si="2"/>
        <v>0</v>
      </c>
      <c r="AA31" s="493">
        <f t="shared" si="2"/>
        <v>1.8026</v>
      </c>
      <c r="AB31" s="493">
        <f t="shared" si="2"/>
        <v>0</v>
      </c>
      <c r="AC31" s="493">
        <f t="shared" si="2"/>
        <v>0</v>
      </c>
      <c r="AE31" s="487">
        <f t="shared" ref="AE31:AE33" si="7">AE30</f>
        <v>2016</v>
      </c>
      <c r="AF31" s="493">
        <f t="shared" si="3"/>
        <v>0</v>
      </c>
      <c r="AG31" s="493">
        <f t="shared" si="3"/>
        <v>0</v>
      </c>
      <c r="AH31" s="493">
        <f t="shared" si="3"/>
        <v>1.7091000000000001</v>
      </c>
      <c r="AI31" s="493">
        <f t="shared" si="3"/>
        <v>0</v>
      </c>
      <c r="AJ31" s="493">
        <f t="shared" si="3"/>
        <v>0</v>
      </c>
      <c r="AL31" s="487">
        <f t="shared" ref="AL31:AL33" si="8">AL30</f>
        <v>2015</v>
      </c>
      <c r="AM31" s="493">
        <v>0</v>
      </c>
      <c r="AN31" s="493">
        <v>0</v>
      </c>
      <c r="AO31" s="493">
        <f>1*E$29</f>
        <v>1.671</v>
      </c>
      <c r="AP31" s="493">
        <v>0</v>
      </c>
      <c r="AQ31" s="493">
        <v>0</v>
      </c>
    </row>
    <row r="32" spans="1:43">
      <c r="B32" s="496">
        <v>2018</v>
      </c>
      <c r="C32" s="498">
        <v>1.671</v>
      </c>
      <c r="D32" s="498">
        <v>1.671</v>
      </c>
      <c r="E32" s="498">
        <v>1.671</v>
      </c>
      <c r="F32" s="498">
        <v>1.671</v>
      </c>
      <c r="G32" s="497">
        <v>1.671</v>
      </c>
      <c r="I32" s="486"/>
      <c r="J32" s="487">
        <f t="shared" si="4"/>
        <v>2019</v>
      </c>
      <c r="K32" s="493">
        <f t="shared" si="0"/>
        <v>0</v>
      </c>
      <c r="L32" s="493">
        <f t="shared" si="0"/>
        <v>0</v>
      </c>
      <c r="M32" s="493">
        <f t="shared" si="0"/>
        <v>0</v>
      </c>
      <c r="N32" s="493">
        <f t="shared" si="0"/>
        <v>2.7488000000000001</v>
      </c>
      <c r="O32" s="493">
        <f t="shared" si="0"/>
        <v>0</v>
      </c>
      <c r="Q32" s="487">
        <f t="shared" si="5"/>
        <v>2018</v>
      </c>
      <c r="R32" s="493">
        <f t="shared" si="1"/>
        <v>0</v>
      </c>
      <c r="S32" s="493">
        <f t="shared" si="1"/>
        <v>0</v>
      </c>
      <c r="T32" s="493">
        <f t="shared" si="1"/>
        <v>0</v>
      </c>
      <c r="U32" s="493">
        <f t="shared" si="1"/>
        <v>2.0512000000000001</v>
      </c>
      <c r="V32" s="493">
        <f t="shared" si="1"/>
        <v>0</v>
      </c>
      <c r="X32" s="487">
        <f t="shared" si="6"/>
        <v>2017</v>
      </c>
      <c r="Y32" s="493">
        <f t="shared" si="2"/>
        <v>0</v>
      </c>
      <c r="Z32" s="493">
        <f t="shared" si="2"/>
        <v>0</v>
      </c>
      <c r="AA32" s="493">
        <f t="shared" si="2"/>
        <v>0</v>
      </c>
      <c r="AB32" s="493">
        <f t="shared" si="2"/>
        <v>1.8026</v>
      </c>
      <c r="AC32" s="493">
        <f t="shared" si="2"/>
        <v>0</v>
      </c>
      <c r="AE32" s="487">
        <f t="shared" si="7"/>
        <v>2016</v>
      </c>
      <c r="AF32" s="493">
        <f t="shared" si="3"/>
        <v>0</v>
      </c>
      <c r="AG32" s="493">
        <f t="shared" si="3"/>
        <v>0</v>
      </c>
      <c r="AH32" s="493">
        <f t="shared" si="3"/>
        <v>0</v>
      </c>
      <c r="AI32" s="493">
        <f t="shared" si="3"/>
        <v>1.7091000000000001</v>
      </c>
      <c r="AJ32" s="493">
        <f t="shared" si="3"/>
        <v>0</v>
      </c>
      <c r="AL32" s="487">
        <f t="shared" si="8"/>
        <v>2015</v>
      </c>
      <c r="AM32" s="493">
        <v>0</v>
      </c>
      <c r="AN32" s="493">
        <v>0</v>
      </c>
      <c r="AO32" s="493">
        <v>0</v>
      </c>
      <c r="AP32" s="493">
        <f>1*F$29</f>
        <v>1.671</v>
      </c>
      <c r="AQ32" s="493">
        <v>0</v>
      </c>
    </row>
    <row r="33" spans="2:43" ht="15" thickBot="1">
      <c r="B33" s="496">
        <v>2019</v>
      </c>
      <c r="C33" s="495">
        <v>1.671</v>
      </c>
      <c r="D33" s="495">
        <v>1.671</v>
      </c>
      <c r="E33" s="495">
        <v>1.671</v>
      </c>
      <c r="F33" s="495">
        <v>1.671</v>
      </c>
      <c r="G33" s="494">
        <v>1.671</v>
      </c>
      <c r="I33" s="486"/>
      <c r="J33" s="487">
        <f t="shared" si="4"/>
        <v>2019</v>
      </c>
      <c r="K33" s="493">
        <f t="shared" si="0"/>
        <v>0</v>
      </c>
      <c r="L33" s="493">
        <f t="shared" si="0"/>
        <v>0</v>
      </c>
      <c r="M33" s="493">
        <f t="shared" si="0"/>
        <v>0</v>
      </c>
      <c r="N33" s="493">
        <f t="shared" si="0"/>
        <v>0</v>
      </c>
      <c r="O33" s="493">
        <f t="shared" si="0"/>
        <v>2.7488000000000001</v>
      </c>
      <c r="Q33" s="487">
        <f t="shared" si="5"/>
        <v>2018</v>
      </c>
      <c r="R33" s="493">
        <f t="shared" si="1"/>
        <v>0</v>
      </c>
      <c r="S33" s="493">
        <f t="shared" si="1"/>
        <v>0</v>
      </c>
      <c r="T33" s="493">
        <f t="shared" si="1"/>
        <v>0</v>
      </c>
      <c r="U33" s="493">
        <f t="shared" si="1"/>
        <v>0</v>
      </c>
      <c r="V33" s="493">
        <f t="shared" si="1"/>
        <v>2.0512000000000001</v>
      </c>
      <c r="X33" s="487">
        <f t="shared" si="6"/>
        <v>2017</v>
      </c>
      <c r="Y33" s="493">
        <f t="shared" si="2"/>
        <v>0</v>
      </c>
      <c r="Z33" s="493">
        <f t="shared" si="2"/>
        <v>0</v>
      </c>
      <c r="AA33" s="493">
        <f t="shared" si="2"/>
        <v>0</v>
      </c>
      <c r="AB33" s="493">
        <f t="shared" si="2"/>
        <v>0</v>
      </c>
      <c r="AC33" s="493">
        <f t="shared" si="2"/>
        <v>1.8026</v>
      </c>
      <c r="AE33" s="487">
        <f t="shared" si="7"/>
        <v>2016</v>
      </c>
      <c r="AF33" s="493">
        <f t="shared" si="3"/>
        <v>0</v>
      </c>
      <c r="AG33" s="493">
        <f t="shared" si="3"/>
        <v>0</v>
      </c>
      <c r="AH33" s="493">
        <f t="shared" si="3"/>
        <v>0</v>
      </c>
      <c r="AI33" s="493">
        <f t="shared" si="3"/>
        <v>0</v>
      </c>
      <c r="AJ33" s="493">
        <f t="shared" si="3"/>
        <v>1.7091000000000001</v>
      </c>
      <c r="AL33" s="487">
        <f t="shared" si="8"/>
        <v>2015</v>
      </c>
      <c r="AM33" s="493">
        <v>0</v>
      </c>
      <c r="AN33" s="493">
        <v>0</v>
      </c>
      <c r="AO33" s="493">
        <v>0</v>
      </c>
      <c r="AP33" s="493">
        <v>0</v>
      </c>
      <c r="AQ33" s="493">
        <f>1*G$29</f>
        <v>1.671</v>
      </c>
    </row>
    <row r="34" spans="2:43" ht="15" thickTop="1">
      <c r="I34" s="486"/>
    </row>
    <row r="35" spans="2:43" ht="15" thickBot="1">
      <c r="I35" s="486"/>
    </row>
    <row r="36" spans="2:43" ht="15" thickBot="1">
      <c r="I36" s="486"/>
      <c r="J36" s="492" t="s">
        <v>500</v>
      </c>
      <c r="K36" s="491"/>
      <c r="L36" s="491"/>
      <c r="M36" s="491"/>
      <c r="N36" s="491"/>
      <c r="O36" s="490"/>
    </row>
    <row r="37" spans="2:43">
      <c r="I37" s="486"/>
      <c r="J37" s="484" t="s">
        <v>7</v>
      </c>
      <c r="K37" s="489" t="s">
        <v>7</v>
      </c>
      <c r="L37" s="489" t="s">
        <v>241</v>
      </c>
      <c r="M37" s="489" t="s">
        <v>499</v>
      </c>
      <c r="N37" s="489" t="s">
        <v>498</v>
      </c>
      <c r="O37" s="489" t="s">
        <v>242</v>
      </c>
    </row>
    <row r="38" spans="2:43">
      <c r="I38" s="486"/>
      <c r="J38" s="484">
        <f>B29</f>
        <v>2015</v>
      </c>
      <c r="K38" s="485">
        <f>+AM29</f>
        <v>1.671</v>
      </c>
      <c r="L38" s="488"/>
      <c r="M38" s="488"/>
      <c r="N38" s="488"/>
      <c r="O38" s="488"/>
    </row>
    <row r="39" spans="2:43">
      <c r="I39" s="486"/>
      <c r="J39" s="484">
        <f t="shared" ref="J39:J42" si="9">B30</f>
        <v>2016</v>
      </c>
      <c r="K39" s="485">
        <f>+AF29</f>
        <v>1.7091000000000001</v>
      </c>
      <c r="L39" s="488"/>
      <c r="M39" s="488"/>
      <c r="N39" s="488"/>
      <c r="O39" s="488"/>
    </row>
    <row r="40" spans="2:43">
      <c r="I40" s="486"/>
      <c r="J40" s="484">
        <f t="shared" si="9"/>
        <v>2017</v>
      </c>
      <c r="K40" s="485">
        <f>+Y29</f>
        <v>1.8026</v>
      </c>
      <c r="L40" s="488"/>
      <c r="M40" s="488"/>
      <c r="N40" s="488"/>
      <c r="O40" s="488"/>
    </row>
    <row r="41" spans="2:43">
      <c r="I41" s="486"/>
      <c r="J41" s="484">
        <f t="shared" si="9"/>
        <v>2018</v>
      </c>
      <c r="K41" s="485">
        <f>+R29</f>
        <v>2.0512000000000001</v>
      </c>
      <c r="L41" s="488"/>
      <c r="M41" s="488"/>
      <c r="N41" s="488"/>
      <c r="O41" s="488"/>
    </row>
    <row r="42" spans="2:43">
      <c r="I42" s="486"/>
      <c r="J42" s="484">
        <f t="shared" si="9"/>
        <v>2019</v>
      </c>
      <c r="K42" s="485">
        <f>+K29</f>
        <v>2.7488000000000001</v>
      </c>
      <c r="L42" s="488"/>
      <c r="M42" s="488"/>
      <c r="N42" s="488"/>
      <c r="O42" s="488"/>
    </row>
    <row r="43" spans="2:43">
      <c r="I43" s="486"/>
      <c r="J43" s="484" t="s">
        <v>497</v>
      </c>
      <c r="K43" s="485">
        <f>+SUM(K38:K42)</f>
        <v>9.9827000000000012</v>
      </c>
      <c r="L43" s="485">
        <f>+SUM(L38:L42)</f>
        <v>0</v>
      </c>
      <c r="M43" s="485">
        <f>+SUM(M38:M42)</f>
        <v>0</v>
      </c>
      <c r="N43" s="485">
        <f>+SUM(N38:N42)</f>
        <v>0</v>
      </c>
      <c r="O43" s="485">
        <f>+SUM(O38:O42)</f>
        <v>0</v>
      </c>
    </row>
    <row r="44" spans="2:43">
      <c r="I44" s="486"/>
      <c r="J44" s="484" t="s">
        <v>241</v>
      </c>
      <c r="K44" s="487" t="s">
        <v>7</v>
      </c>
      <c r="L44" s="487" t="s">
        <v>241</v>
      </c>
      <c r="M44" s="487" t="s">
        <v>499</v>
      </c>
      <c r="N44" s="487" t="s">
        <v>498</v>
      </c>
      <c r="O44" s="487" t="s">
        <v>242</v>
      </c>
    </row>
    <row r="45" spans="2:43">
      <c r="I45" s="486"/>
      <c r="J45" s="484">
        <f>J38</f>
        <v>2015</v>
      </c>
      <c r="K45" s="485">
        <f>+AM30</f>
        <v>0</v>
      </c>
      <c r="L45" s="485">
        <f>+AN30</f>
        <v>1.671</v>
      </c>
      <c r="M45" s="485">
        <f>+AO30</f>
        <v>0</v>
      </c>
      <c r="N45" s="485">
        <f>+AP30</f>
        <v>0</v>
      </c>
      <c r="O45" s="485">
        <f>+AQ30</f>
        <v>0</v>
      </c>
    </row>
    <row r="46" spans="2:43">
      <c r="I46" s="486"/>
      <c r="J46" s="484">
        <f t="shared" ref="J46:J49" si="10">J39</f>
        <v>2016</v>
      </c>
      <c r="K46" s="485">
        <f>+AF30</f>
        <v>0</v>
      </c>
      <c r="L46" s="485">
        <f>+AG30</f>
        <v>1.7091000000000001</v>
      </c>
      <c r="M46" s="485">
        <f>+AH30</f>
        <v>0</v>
      </c>
      <c r="N46" s="485">
        <f>+AI30</f>
        <v>0</v>
      </c>
      <c r="O46" s="485">
        <f>+AJ30</f>
        <v>0</v>
      </c>
    </row>
    <row r="47" spans="2:43">
      <c r="I47" s="486"/>
      <c r="J47" s="484">
        <f t="shared" si="10"/>
        <v>2017</v>
      </c>
      <c r="K47" s="485">
        <f>+Y30</f>
        <v>0</v>
      </c>
      <c r="L47" s="485">
        <f>+Z30</f>
        <v>1.8026</v>
      </c>
      <c r="M47" s="485">
        <f>+AA30</f>
        <v>0</v>
      </c>
      <c r="N47" s="485">
        <f>+AB30</f>
        <v>0</v>
      </c>
      <c r="O47" s="485">
        <f>+AC30</f>
        <v>0</v>
      </c>
    </row>
    <row r="48" spans="2:43">
      <c r="I48" s="486"/>
      <c r="J48" s="484">
        <f t="shared" si="10"/>
        <v>2018</v>
      </c>
      <c r="K48" s="485">
        <f>+R30</f>
        <v>0</v>
      </c>
      <c r="L48" s="485">
        <f>+S30</f>
        <v>2.0512000000000001</v>
      </c>
      <c r="M48" s="485">
        <f>+T30</f>
        <v>0</v>
      </c>
      <c r="N48" s="485">
        <f>+U30</f>
        <v>0</v>
      </c>
      <c r="O48" s="485">
        <f>+V30</f>
        <v>0</v>
      </c>
    </row>
    <row r="49" spans="9:15">
      <c r="I49" s="486"/>
      <c r="J49" s="484">
        <f t="shared" si="10"/>
        <v>2019</v>
      </c>
      <c r="K49" s="485">
        <f>+K30</f>
        <v>0</v>
      </c>
      <c r="L49" s="485">
        <f>+L30</f>
        <v>2.7488000000000001</v>
      </c>
      <c r="M49" s="485">
        <f>+M30</f>
        <v>0</v>
      </c>
      <c r="N49" s="485">
        <f>+N30</f>
        <v>0</v>
      </c>
      <c r="O49" s="485">
        <f>+O30</f>
        <v>0</v>
      </c>
    </row>
    <row r="50" spans="9:15">
      <c r="I50" s="486"/>
      <c r="J50" s="484" t="s">
        <v>497</v>
      </c>
      <c r="K50" s="485">
        <f>+SUM(K45:K49)</f>
        <v>0</v>
      </c>
      <c r="L50" s="485">
        <f>+SUM(L45:L49)</f>
        <v>9.9827000000000012</v>
      </c>
      <c r="M50" s="485">
        <f>+SUM(M45:M49)</f>
        <v>0</v>
      </c>
      <c r="N50" s="485">
        <f>+SUM(N45:N49)</f>
        <v>0</v>
      </c>
      <c r="O50" s="485">
        <f>+SUM(O45:O49)</f>
        <v>0</v>
      </c>
    </row>
    <row r="51" spans="9:15">
      <c r="I51" s="486"/>
      <c r="J51" s="484" t="s">
        <v>9</v>
      </c>
      <c r="K51" s="487" t="s">
        <v>7</v>
      </c>
      <c r="L51" s="487" t="s">
        <v>241</v>
      </c>
      <c r="M51" s="487" t="s">
        <v>499</v>
      </c>
      <c r="N51" s="487" t="s">
        <v>498</v>
      </c>
      <c r="O51" s="487" t="s">
        <v>242</v>
      </c>
    </row>
    <row r="52" spans="9:15">
      <c r="I52" s="486"/>
      <c r="J52" s="484">
        <f>J45</f>
        <v>2015</v>
      </c>
      <c r="K52" s="485">
        <f>+AM31</f>
        <v>0</v>
      </c>
      <c r="L52" s="485">
        <f>+AN31</f>
        <v>0</v>
      </c>
      <c r="M52" s="485">
        <f>+AO31</f>
        <v>1.671</v>
      </c>
      <c r="N52" s="485">
        <f>+AP31</f>
        <v>0</v>
      </c>
      <c r="O52" s="485">
        <f>+AQ31</f>
        <v>0</v>
      </c>
    </row>
    <row r="53" spans="9:15">
      <c r="I53" s="486"/>
      <c r="J53" s="484">
        <f t="shared" ref="J53:J56" si="11">J46</f>
        <v>2016</v>
      </c>
      <c r="K53" s="485">
        <f>+AF31</f>
        <v>0</v>
      </c>
      <c r="L53" s="485">
        <f>+AG31</f>
        <v>0</v>
      </c>
      <c r="M53" s="485">
        <f>+AH31</f>
        <v>1.7091000000000001</v>
      </c>
      <c r="N53" s="485">
        <f>+AI31</f>
        <v>0</v>
      </c>
      <c r="O53" s="485">
        <f>+AJ31</f>
        <v>0</v>
      </c>
    </row>
    <row r="54" spans="9:15">
      <c r="I54" s="486"/>
      <c r="J54" s="484">
        <f t="shared" si="11"/>
        <v>2017</v>
      </c>
      <c r="K54" s="485">
        <f>+Y31</f>
        <v>0</v>
      </c>
      <c r="L54" s="485">
        <f>+Z31</f>
        <v>0</v>
      </c>
      <c r="M54" s="485">
        <f>+AA31</f>
        <v>1.8026</v>
      </c>
      <c r="N54" s="485">
        <f>+AB31</f>
        <v>0</v>
      </c>
      <c r="O54" s="485">
        <f>+AC31</f>
        <v>0</v>
      </c>
    </row>
    <row r="55" spans="9:15">
      <c r="I55" s="486"/>
      <c r="J55" s="484">
        <f t="shared" si="11"/>
        <v>2018</v>
      </c>
      <c r="K55" s="485">
        <f>+R31</f>
        <v>0</v>
      </c>
      <c r="L55" s="485">
        <f>+S31</f>
        <v>0</v>
      </c>
      <c r="M55" s="485">
        <f>+T31</f>
        <v>2.0512000000000001</v>
      </c>
      <c r="N55" s="485">
        <f>+U31</f>
        <v>0</v>
      </c>
      <c r="O55" s="485">
        <f>+V31</f>
        <v>0</v>
      </c>
    </row>
    <row r="56" spans="9:15">
      <c r="I56" s="486"/>
      <c r="J56" s="484">
        <f t="shared" si="11"/>
        <v>2019</v>
      </c>
      <c r="K56" s="485">
        <f>+K31</f>
        <v>0</v>
      </c>
      <c r="L56" s="485">
        <f>+L31</f>
        <v>0</v>
      </c>
      <c r="M56" s="485">
        <f>+M31</f>
        <v>2.7488000000000001</v>
      </c>
      <c r="N56" s="485">
        <f>+N31</f>
        <v>0</v>
      </c>
      <c r="O56" s="485">
        <f>+O31</f>
        <v>0</v>
      </c>
    </row>
    <row r="57" spans="9:15">
      <c r="I57" s="486"/>
      <c r="J57" s="484" t="s">
        <v>497</v>
      </c>
      <c r="K57" s="485">
        <f>+SUM(K52:K56)</f>
        <v>0</v>
      </c>
      <c r="L57" s="485">
        <f>+SUM(L52:L56)</f>
        <v>0</v>
      </c>
      <c r="M57" s="485">
        <f>+SUM(M52:M56)</f>
        <v>9.9827000000000012</v>
      </c>
      <c r="N57" s="485">
        <f>+SUM(N52:N56)</f>
        <v>0</v>
      </c>
      <c r="O57" s="485">
        <f>+SUM(O52:O56)</f>
        <v>0</v>
      </c>
    </row>
    <row r="58" spans="9:15">
      <c r="I58" s="486"/>
      <c r="J58" s="484" t="s">
        <v>10</v>
      </c>
      <c r="K58" s="487" t="s">
        <v>7</v>
      </c>
      <c r="L58" s="487" t="s">
        <v>241</v>
      </c>
      <c r="M58" s="487" t="s">
        <v>499</v>
      </c>
      <c r="N58" s="487" t="s">
        <v>498</v>
      </c>
      <c r="O58" s="487" t="s">
        <v>242</v>
      </c>
    </row>
    <row r="59" spans="9:15">
      <c r="I59" s="486"/>
      <c r="J59" s="484">
        <f>J52</f>
        <v>2015</v>
      </c>
      <c r="K59" s="485">
        <f>+AM32</f>
        <v>0</v>
      </c>
      <c r="L59" s="485">
        <f>+AN32</f>
        <v>0</v>
      </c>
      <c r="M59" s="485">
        <f>+AO32</f>
        <v>0</v>
      </c>
      <c r="N59" s="485">
        <f>+AP32</f>
        <v>1.671</v>
      </c>
      <c r="O59" s="485">
        <f>+AQ32</f>
        <v>0</v>
      </c>
    </row>
    <row r="60" spans="9:15">
      <c r="I60" s="486"/>
      <c r="J60" s="484">
        <f t="shared" ref="J60:J63" si="12">J53</f>
        <v>2016</v>
      </c>
      <c r="K60" s="485">
        <f>+AF32</f>
        <v>0</v>
      </c>
      <c r="L60" s="485">
        <f>+AG32</f>
        <v>0</v>
      </c>
      <c r="M60" s="485">
        <f>+AH32</f>
        <v>0</v>
      </c>
      <c r="N60" s="485">
        <f>+AI32</f>
        <v>1.7091000000000001</v>
      </c>
      <c r="O60" s="485">
        <f>+AJ32</f>
        <v>0</v>
      </c>
    </row>
    <row r="61" spans="9:15">
      <c r="I61" s="486"/>
      <c r="J61" s="484">
        <f t="shared" si="12"/>
        <v>2017</v>
      </c>
      <c r="K61" s="485">
        <f>+Y32</f>
        <v>0</v>
      </c>
      <c r="L61" s="485">
        <f>+Z32</f>
        <v>0</v>
      </c>
      <c r="M61" s="485">
        <f>+AA32</f>
        <v>0</v>
      </c>
      <c r="N61" s="485">
        <f>+AB32</f>
        <v>1.8026</v>
      </c>
      <c r="O61" s="485">
        <f>+AC32</f>
        <v>0</v>
      </c>
    </row>
    <row r="62" spans="9:15">
      <c r="I62" s="486"/>
      <c r="J62" s="484">
        <f t="shared" si="12"/>
        <v>2018</v>
      </c>
      <c r="K62" s="485">
        <f>+R32</f>
        <v>0</v>
      </c>
      <c r="L62" s="485">
        <f>+S32</f>
        <v>0</v>
      </c>
      <c r="M62" s="485">
        <f>+T32</f>
        <v>0</v>
      </c>
      <c r="N62" s="485">
        <f>+U32</f>
        <v>2.0512000000000001</v>
      </c>
      <c r="O62" s="485">
        <f>+V32</f>
        <v>0</v>
      </c>
    </row>
    <row r="63" spans="9:15">
      <c r="I63" s="486"/>
      <c r="J63" s="484">
        <f t="shared" si="12"/>
        <v>2019</v>
      </c>
      <c r="K63" s="485">
        <f>+K32</f>
        <v>0</v>
      </c>
      <c r="L63" s="485">
        <f>+L32</f>
        <v>0</v>
      </c>
      <c r="M63" s="485">
        <f>+M32</f>
        <v>0</v>
      </c>
      <c r="N63" s="485">
        <f>+N32</f>
        <v>2.7488000000000001</v>
      </c>
      <c r="O63" s="485">
        <f>+O32</f>
        <v>0</v>
      </c>
    </row>
    <row r="64" spans="9:15">
      <c r="I64" s="486"/>
      <c r="J64" s="484" t="s">
        <v>497</v>
      </c>
      <c r="K64" s="485">
        <f>+SUM(K59:K63)</f>
        <v>0</v>
      </c>
      <c r="L64" s="485">
        <f>+SUM(L59:L63)</f>
        <v>0</v>
      </c>
      <c r="M64" s="485">
        <f>+SUM(M59:M63)</f>
        <v>0</v>
      </c>
      <c r="N64" s="485">
        <f>+SUM(N59:N63)</f>
        <v>9.9827000000000012</v>
      </c>
      <c r="O64" s="485">
        <f>+SUM(O59:O63)</f>
        <v>0</v>
      </c>
    </row>
    <row r="65" spans="9:15">
      <c r="I65" s="486"/>
      <c r="J65" s="484" t="s">
        <v>242</v>
      </c>
      <c r="K65" s="487" t="s">
        <v>7</v>
      </c>
      <c r="L65" s="487" t="s">
        <v>241</v>
      </c>
      <c r="M65" s="487" t="s">
        <v>499</v>
      </c>
      <c r="N65" s="487" t="s">
        <v>498</v>
      </c>
      <c r="O65" s="487" t="s">
        <v>242</v>
      </c>
    </row>
    <row r="66" spans="9:15">
      <c r="I66" s="486"/>
      <c r="J66" s="484">
        <f>J59</f>
        <v>2015</v>
      </c>
      <c r="K66" s="485">
        <f>+AM33</f>
        <v>0</v>
      </c>
      <c r="L66" s="485">
        <f>+AN33</f>
        <v>0</v>
      </c>
      <c r="M66" s="485">
        <f>+AO33</f>
        <v>0</v>
      </c>
      <c r="N66" s="485">
        <f>+AP33</f>
        <v>0</v>
      </c>
      <c r="O66" s="485">
        <f>+AQ33</f>
        <v>1.671</v>
      </c>
    </row>
    <row r="67" spans="9:15">
      <c r="I67" s="486"/>
      <c r="J67" s="484">
        <f t="shared" ref="J67:J70" si="13">J60</f>
        <v>2016</v>
      </c>
      <c r="K67" s="485">
        <f>+AF33</f>
        <v>0</v>
      </c>
      <c r="L67" s="485">
        <f>+AG33</f>
        <v>0</v>
      </c>
      <c r="M67" s="485">
        <f>+AH33</f>
        <v>0</v>
      </c>
      <c r="N67" s="485">
        <f>+AI33</f>
        <v>0</v>
      </c>
      <c r="O67" s="485">
        <f>+AJ33</f>
        <v>1.7091000000000001</v>
      </c>
    </row>
    <row r="68" spans="9:15">
      <c r="I68" s="486"/>
      <c r="J68" s="484">
        <f t="shared" si="13"/>
        <v>2017</v>
      </c>
      <c r="K68" s="485">
        <f>+Y33</f>
        <v>0</v>
      </c>
      <c r="L68" s="485">
        <f>+Z33</f>
        <v>0</v>
      </c>
      <c r="M68" s="485">
        <f>+AA33</f>
        <v>0</v>
      </c>
      <c r="N68" s="485">
        <f>+AB33</f>
        <v>0</v>
      </c>
      <c r="O68" s="485">
        <f>+AC33</f>
        <v>1.8026</v>
      </c>
    </row>
    <row r="69" spans="9:15">
      <c r="I69" s="486"/>
      <c r="J69" s="484">
        <f t="shared" si="13"/>
        <v>2018</v>
      </c>
      <c r="K69" s="485">
        <f>+R33</f>
        <v>0</v>
      </c>
      <c r="L69" s="485">
        <f>+S33</f>
        <v>0</v>
      </c>
      <c r="M69" s="485">
        <f>+T33</f>
        <v>0</v>
      </c>
      <c r="N69" s="485">
        <f>+U33</f>
        <v>0</v>
      </c>
      <c r="O69" s="485">
        <f>+V33</f>
        <v>2.0512000000000001</v>
      </c>
    </row>
    <row r="70" spans="9:15">
      <c r="I70" s="486"/>
      <c r="J70" s="484">
        <f t="shared" si="13"/>
        <v>2019</v>
      </c>
      <c r="K70" s="485">
        <f>+K33</f>
        <v>0</v>
      </c>
      <c r="L70" s="485">
        <f>+L33</f>
        <v>0</v>
      </c>
      <c r="M70" s="485">
        <f>+M33</f>
        <v>0</v>
      </c>
      <c r="N70" s="485">
        <f>+N33</f>
        <v>0</v>
      </c>
      <c r="O70" s="485">
        <f>+O33</f>
        <v>2.7488000000000001</v>
      </c>
    </row>
    <row r="71" spans="9:15">
      <c r="I71" s="486"/>
      <c r="J71" s="484" t="s">
        <v>497</v>
      </c>
      <c r="K71" s="485">
        <f>+SUM(K66:K70)</f>
        <v>0</v>
      </c>
      <c r="L71" s="485">
        <f>+SUM(L66:L70)</f>
        <v>0</v>
      </c>
      <c r="M71" s="485">
        <f>+SUM(M66:M70)</f>
        <v>0</v>
      </c>
      <c r="N71" s="485">
        <f>+SUM(N66:N70)</f>
        <v>0</v>
      </c>
      <c r="O71" s="485">
        <f>+SUM(O66:O70)</f>
        <v>9.9827000000000012</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27</vt:i4>
      </vt:variant>
      <vt:variant>
        <vt:lpstr>Named Ranges</vt:lpstr>
      </vt:variant>
      <vt:variant>
        <vt:i4>6</vt:i4>
      </vt:variant>
    </vt:vector>
  </HeadingPairs>
  <TitlesOfParts>
    <vt:vector size="33" baseType="lpstr">
      <vt:lpstr>Credibility-1</vt:lpstr>
      <vt:lpstr>D08</vt:lpstr>
      <vt:lpstr>PAYROLL</vt:lpstr>
      <vt:lpstr>Data_Payroll</vt:lpstr>
      <vt:lpstr>Data_Loss</vt:lpstr>
      <vt:lpstr>Previous year's Pre Surcharge </vt:lpstr>
      <vt:lpstr>PYV(Pre-Surcharge)</vt:lpstr>
      <vt:lpstr>Indemnity</vt:lpstr>
      <vt:lpstr>Medical</vt:lpstr>
      <vt:lpstr>10k &amp; MO</vt:lpstr>
      <vt:lpstr>Limited Losses Non-Cat</vt:lpstr>
      <vt:lpstr>Limited Losses CAT</vt:lpstr>
      <vt:lpstr>Limited Losses Combined</vt:lpstr>
      <vt:lpstr>Limited Loss</vt:lpstr>
      <vt:lpstr>CB Item 1</vt:lpstr>
      <vt:lpstr>Credibility</vt:lpstr>
      <vt:lpstr>Translated Loss</vt:lpstr>
      <vt:lpstr>UPP</vt:lpstr>
      <vt:lpstr>IBNR+Freq</vt:lpstr>
      <vt:lpstr>CB Item 2</vt:lpstr>
      <vt:lpstr>Exp Loss Report</vt:lpstr>
      <vt:lpstr>POST-TEST Factor</vt:lpstr>
      <vt:lpstr>Exp Loss Report_PAYROLL</vt:lpstr>
      <vt:lpstr>Pure Prem Test</vt:lpstr>
      <vt:lpstr>CB Item 3</vt:lpstr>
      <vt:lpstr>CB Template</vt:lpstr>
      <vt:lpstr>Class and Exp Cons</vt:lpstr>
      <vt:lpstr>'CB Template'!Print_Area</vt:lpstr>
      <vt:lpstr>Credibility!Print_Area</vt:lpstr>
      <vt:lpstr>'Credibility-1'!Print_Area</vt:lpstr>
      <vt:lpstr>'D08'!Print_Area</vt:lpstr>
      <vt:lpstr>PAYROLL!Print_Area</vt:lpstr>
      <vt:lpstr>'Credibility-1'!Print_Titles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Mike Cummiskey</dc:creator>
  <cp:lastModifiedBy>Administrator</cp:lastModifiedBy>
  <cp:lastPrinted>2022-12-02T20:25:01Z</cp:lastPrinted>
  <dcterms:created xsi:type="dcterms:W3CDTF">1998-06-25T13:33:52Z</dcterms:created>
  <dcterms:modified xsi:type="dcterms:W3CDTF">2022-12-07T22:07:08Z</dcterms:modified>
</cp:coreProperties>
</file>